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3.xml" ContentType="application/vnd.openxmlformats-officedocument.spreadsheetml.comments+xml"/>
  <Override PartName="/xl/drawings/drawing6.xml" ContentType="application/vnd.openxmlformats-officedocument.drawing+xml"/>
  <Override PartName="/xl/comments4.xml" ContentType="application/vnd.openxmlformats-officedocument.spreadsheetml.comments+xml"/>
  <Override PartName="/xl/drawings/drawing7.xml" ContentType="application/vnd.openxmlformats-officedocument.drawing+xml"/>
  <Override PartName="/xl/drawings/drawing8.xml" ContentType="application/vnd.openxmlformats-officedocument.drawing+xml"/>
  <Override PartName="/xl/comments5.xml" ContentType="application/vnd.openxmlformats-officedocument.spreadsheetml.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omments6.xml" ContentType="application/vnd.openxmlformats-officedocument.spreadsheetml.comments+xml"/>
  <Override PartName="/xl/drawings/drawing9.xml" ContentType="application/vnd.openxmlformats-officedocument.drawing+xml"/>
  <Override PartName="/xl/comments7.xml" ContentType="application/vnd.openxmlformats-officedocument.spreadsheetml.comments+xml"/>
  <Override PartName="/xl/drawings/drawing10.xml" ContentType="application/vnd.openxmlformats-officedocument.drawing+xml"/>
  <Override PartName="/xl/comments8.xml" ContentType="application/vnd.openxmlformats-officedocument.spreadsheetml.comments+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1.xml" ContentType="application/vnd.openxmlformats-officedocument.drawing+xml"/>
  <Override PartName="/xl/comments9.xml" ContentType="application/vnd.openxmlformats-officedocument.spreadsheetml.comments+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2.xml" ContentType="application/vnd.openxmlformats-officedocument.drawing+xml"/>
  <Override PartName="/xl/comments10.xml" ContentType="application/vnd.openxmlformats-officedocument.spreadsheetml.comments+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930"/>
  <workbookPr defaultThemeVersion="166925"/>
  <mc:AlternateContent xmlns:mc="http://schemas.openxmlformats.org/markup-compatibility/2006">
    <mc:Choice Requires="x15">
      <x15ac:absPath xmlns:x15ac="http://schemas.microsoft.com/office/spreadsheetml/2010/11/ac" url="D:\Dropbox\Biomatec_Proyectos Internos\01_EN EJECUCIÓN\01_INVENTARIOS DE GEI\00_CANTONALES\BELÉN_GEI\03_Inventario GEI\"/>
    </mc:Choice>
  </mc:AlternateContent>
  <xr:revisionPtr revIDLastSave="0" documentId="13_ncr:1_{DF9E50DC-D062-4326-ACF8-05052130674B}" xr6:coauthVersionLast="47" xr6:coauthVersionMax="47" xr10:uidLastSave="{00000000-0000-0000-0000-000000000000}"/>
  <bookViews>
    <workbookView xWindow="20370" yWindow="-120" windowWidth="29040" windowHeight="15720" firstSheet="1" activeTab="1" xr2:uid="{00000000-000D-0000-FFFF-FFFF00000000}"/>
  </bookViews>
  <sheets>
    <sheet name="Información general" sheetId="1" r:id="rId1"/>
    <sheet name="1.1. Descripción de la ciudad" sheetId="2" r:id="rId2"/>
    <sheet name="1.2. Fuentes de información" sheetId="3" r:id="rId3"/>
    <sheet name="1.3. Factores de emisión" sheetId="4" r:id="rId4"/>
    <sheet name="2.1. Energía estacionaria" sheetId="5" r:id="rId5"/>
    <sheet name="2.2. Transporte" sheetId="6" r:id="rId6"/>
    <sheet name="2.3. Residuos" sheetId="7" r:id="rId7"/>
    <sheet name="2.4. IPPU" sheetId="8" r:id="rId8"/>
    <sheet name="2.5. AFOLU" sheetId="9" r:id="rId9"/>
    <sheet name="3. Emisiones netas" sheetId="10" r:id="rId10"/>
    <sheet name="4.1. ANEXOS Energía" sheetId="11" r:id="rId11"/>
    <sheet name="4.2. ANEXOS Transporte" sheetId="12" r:id="rId12"/>
    <sheet name="4.3. ANEXOS Residuos" sheetId="13" r:id="rId13"/>
    <sheet name="4.4. ANEXOS IPPU" sheetId="14" r:id="rId14"/>
    <sheet name="4.5. AFOLU" sheetId="15" r:id="rId15"/>
  </sheets>
  <externalReferences>
    <externalReference r:id="rId16"/>
    <externalReference r:id="rId17"/>
    <externalReference r:id="rId18"/>
    <externalReference r:id="rId19"/>
    <externalReference r:id="rId20"/>
    <externalReference r:id="rId21"/>
    <externalReference r:id="rId22"/>
  </externalReferenc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51" i="11" l="1"/>
  <c r="K32" i="6" l="1"/>
  <c r="L32" i="6"/>
  <c r="J32" i="6"/>
  <c r="G32" i="6"/>
  <c r="K31" i="6"/>
  <c r="L31" i="6"/>
  <c r="J31" i="6"/>
  <c r="G31" i="6"/>
  <c r="K30" i="6"/>
  <c r="L30" i="6"/>
  <c r="J30" i="6"/>
  <c r="G30" i="6"/>
  <c r="P30" i="6" s="1"/>
  <c r="P32" i="6" l="1"/>
  <c r="P31" i="6"/>
  <c r="N30" i="6"/>
  <c r="N31" i="6"/>
  <c r="N32" i="6"/>
  <c r="O30" i="6"/>
  <c r="O31" i="6"/>
  <c r="O32" i="6"/>
  <c r="Q31" i="6" l="1"/>
  <c r="Q30" i="6"/>
  <c r="Q32" i="6"/>
  <c r="Q33" i="6" l="1"/>
  <c r="J67" i="7"/>
  <c r="G67" i="7"/>
  <c r="D258" i="13"/>
  <c r="D255" i="13" s="1"/>
  <c r="D256" i="13"/>
  <c r="N67" i="7" l="1"/>
  <c r="Q67" i="7" s="1"/>
  <c r="C93" i="11" l="1"/>
  <c r="D283" i="15" l="1"/>
  <c r="D282" i="15"/>
  <c r="G26" i="9" s="1"/>
  <c r="G27" i="9"/>
  <c r="L279" i="15"/>
  <c r="L276" i="15"/>
  <c r="L277" i="15"/>
  <c r="L278" i="15"/>
  <c r="L275" i="15"/>
  <c r="L273" i="15"/>
  <c r="N270" i="15"/>
  <c r="J279" i="15" l="1"/>
  <c r="J280" i="15" s="1"/>
  <c r="I279" i="15"/>
  <c r="I280" i="15" s="1"/>
  <c r="H279" i="15"/>
  <c r="H280" i="15" s="1"/>
  <c r="G279" i="15"/>
  <c r="G280" i="15" s="1"/>
  <c r="F279" i="15"/>
  <c r="F280" i="15" s="1"/>
  <c r="E279" i="15"/>
  <c r="E280" i="15" s="1"/>
  <c r="D279" i="15"/>
  <c r="D280" i="15" s="1"/>
  <c r="C279" i="15"/>
  <c r="C280" i="15" s="1"/>
  <c r="K27" i="9"/>
  <c r="K26" i="9"/>
  <c r="O26" i="9" s="1"/>
  <c r="N63" i="9"/>
  <c r="R99" i="8"/>
  <c r="Q99" i="8"/>
  <c r="P99" i="8"/>
  <c r="N99" i="8"/>
  <c r="M99" i="8"/>
  <c r="K99" i="8"/>
  <c r="J99" i="8"/>
  <c r="I99" i="8"/>
  <c r="AG89" i="8"/>
  <c r="AH89" i="8"/>
  <c r="AI89" i="8"/>
  <c r="AJ89" i="8"/>
  <c r="AK89" i="8"/>
  <c r="AL89" i="8"/>
  <c r="AM89" i="8"/>
  <c r="AN89" i="8"/>
  <c r="AO89" i="8"/>
  <c r="AP89" i="8"/>
  <c r="AQ89" i="8"/>
  <c r="AR89" i="8"/>
  <c r="AS89" i="8"/>
  <c r="AT89" i="8"/>
  <c r="AU89" i="8"/>
  <c r="AV89" i="8"/>
  <c r="AW89" i="8"/>
  <c r="AX89" i="8"/>
  <c r="AY89" i="8"/>
  <c r="AF89" i="8"/>
  <c r="AG88" i="8"/>
  <c r="AH88" i="8"/>
  <c r="AI88" i="8"/>
  <c r="AJ88" i="8"/>
  <c r="AK88" i="8"/>
  <c r="AL88" i="8"/>
  <c r="AM88" i="8"/>
  <c r="AN88" i="8"/>
  <c r="AO88" i="8"/>
  <c r="AP88" i="8"/>
  <c r="AQ88" i="8"/>
  <c r="AR88" i="8"/>
  <c r="AS88" i="8"/>
  <c r="AT88" i="8"/>
  <c r="AU88" i="8"/>
  <c r="AV88" i="8"/>
  <c r="AW88" i="8"/>
  <c r="AX88" i="8"/>
  <c r="AY88" i="8"/>
  <c r="BB11" i="8"/>
  <c r="L89" i="7"/>
  <c r="L88" i="7"/>
  <c r="P74" i="7"/>
  <c r="O74" i="7"/>
  <c r="N74" i="7"/>
  <c r="P37" i="7"/>
  <c r="O37" i="7"/>
  <c r="Q26" i="9" l="1"/>
  <c r="Q28" i="9" s="1"/>
  <c r="I30" i="10" s="1"/>
  <c r="O28" i="9"/>
  <c r="K279" i="15"/>
  <c r="L280" i="15" s="1"/>
  <c r="O27" i="9"/>
  <c r="Q27" i="9" s="1"/>
  <c r="I35" i="10" l="1"/>
  <c r="H81" i="9"/>
  <c r="K280" i="15"/>
  <c r="L157" i="6" l="1"/>
  <c r="L156" i="6"/>
  <c r="N82" i="5"/>
  <c r="P82" i="5"/>
  <c r="G81" i="5"/>
  <c r="P75" i="5"/>
  <c r="N75" i="5"/>
  <c r="K74" i="5"/>
  <c r="K81" i="5" s="1"/>
  <c r="G74" i="5"/>
  <c r="E137" i="11"/>
  <c r="B137" i="11"/>
  <c r="E138" i="11"/>
  <c r="O81" i="5" l="1"/>
  <c r="Q81" i="5" s="1"/>
  <c r="O74" i="5"/>
  <c r="Q74" i="5" s="1"/>
  <c r="L104" i="8" l="1"/>
  <c r="BB10" i="8"/>
  <c r="I10" i="8"/>
  <c r="G10" i="8"/>
  <c r="K21" i="5"/>
  <c r="F52" i="11" l="1"/>
  <c r="C52" i="11"/>
  <c r="G51" i="6"/>
  <c r="L51" i="6"/>
  <c r="K51" i="6"/>
  <c r="J51" i="6"/>
  <c r="G29" i="6"/>
  <c r="L29" i="6"/>
  <c r="K29" i="6"/>
  <c r="J29" i="6"/>
  <c r="P51" i="6" l="1"/>
  <c r="N51" i="6"/>
  <c r="O51" i="6"/>
  <c r="N29" i="6"/>
  <c r="O29" i="6"/>
  <c r="P29" i="6"/>
  <c r="Q29" i="6" l="1"/>
  <c r="Q51" i="6"/>
  <c r="I129" i="5" l="1"/>
  <c r="H129" i="5"/>
  <c r="Y63" i="8" l="1"/>
  <c r="V62" i="8"/>
  <c r="N61" i="8"/>
  <c r="S60" i="8"/>
  <c r="P59" i="8"/>
  <c r="Q58" i="8"/>
  <c r="O57" i="8"/>
  <c r="R56" i="8"/>
  <c r="M55" i="8"/>
  <c r="F97" i="14"/>
  <c r="D108" i="14" s="1"/>
  <c r="D105" i="14" l="1"/>
  <c r="D104" i="14"/>
  <c r="D103" i="14"/>
  <c r="D111" i="14"/>
  <c r="D106" i="14"/>
  <c r="D110" i="14"/>
  <c r="D109" i="14"/>
  <c r="D107" i="14"/>
  <c r="K62" i="9"/>
  <c r="K61" i="9"/>
  <c r="K60" i="9"/>
  <c r="K59" i="9"/>
  <c r="K58" i="9"/>
  <c r="K57" i="9"/>
  <c r="K56" i="9"/>
  <c r="G55" i="9"/>
  <c r="G54" i="9"/>
  <c r="G53" i="9"/>
  <c r="L52" i="9"/>
  <c r="G52" i="9"/>
  <c r="G51" i="9"/>
  <c r="G50" i="9"/>
  <c r="L49" i="9"/>
  <c r="G49" i="9"/>
  <c r="G48" i="9"/>
  <c r="G47" i="9"/>
  <c r="G46" i="9"/>
  <c r="G45" i="9"/>
  <c r="G44" i="9"/>
  <c r="G43" i="9"/>
  <c r="G42" i="9"/>
  <c r="L41" i="9"/>
  <c r="G41" i="9"/>
  <c r="G40" i="9"/>
  <c r="L38" i="9"/>
  <c r="G38" i="9"/>
  <c r="G37" i="9"/>
  <c r="G123" i="4"/>
  <c r="L54" i="9" s="1"/>
  <c r="G122" i="4"/>
  <c r="L50" i="9" s="1"/>
  <c r="G121" i="4"/>
  <c r="L48" i="9" s="1"/>
  <c r="G120" i="4"/>
  <c r="L46" i="9" s="1"/>
  <c r="G36" i="9"/>
  <c r="L39" i="9"/>
  <c r="G39" i="9"/>
  <c r="B191" i="15"/>
  <c r="B192" i="15" s="1"/>
  <c r="G62" i="9" s="1"/>
  <c r="G184" i="15"/>
  <c r="G185" i="15" s="1"/>
  <c r="G61" i="9" s="1"/>
  <c r="B184" i="15"/>
  <c r="B185" i="15" s="1"/>
  <c r="G60" i="9" s="1"/>
  <c r="G177" i="15"/>
  <c r="G178" i="15" s="1"/>
  <c r="G59" i="9" s="1"/>
  <c r="B178" i="15"/>
  <c r="G57" i="9" s="1"/>
  <c r="G170" i="15"/>
  <c r="G171" i="15" s="1"/>
  <c r="G58" i="9" s="1"/>
  <c r="B170" i="15"/>
  <c r="B171" i="15" s="1"/>
  <c r="G56" i="9" s="1"/>
  <c r="G131" i="15"/>
  <c r="G132" i="15" s="1"/>
  <c r="G136" i="15" s="1"/>
  <c r="G137" i="15" s="1"/>
  <c r="G119" i="4" s="1"/>
  <c r="L55" i="9" s="1"/>
  <c r="B135" i="15"/>
  <c r="B136" i="15" s="1"/>
  <c r="B131" i="15"/>
  <c r="B132" i="15" s="1"/>
  <c r="B127" i="15"/>
  <c r="B128" i="15" s="1"/>
  <c r="B123" i="15"/>
  <c r="B124" i="15" s="1"/>
  <c r="B119" i="15"/>
  <c r="B120" i="15" s="1"/>
  <c r="G120" i="15"/>
  <c r="G124" i="15" s="1"/>
  <c r="G125" i="15" s="1"/>
  <c r="G118" i="4" s="1"/>
  <c r="L51" i="9" s="1"/>
  <c r="G107" i="15"/>
  <c r="G108" i="15" s="1"/>
  <c r="G112" i="15" s="1"/>
  <c r="G113" i="15" s="1"/>
  <c r="G116" i="4" s="1"/>
  <c r="L47" i="9" s="1"/>
  <c r="B107" i="15"/>
  <c r="B108" i="15" s="1"/>
  <c r="B103" i="15"/>
  <c r="B104" i="15" s="1"/>
  <c r="B99" i="15"/>
  <c r="B100" i="15" s="1"/>
  <c r="G96" i="15"/>
  <c r="G92" i="15"/>
  <c r="B87" i="15"/>
  <c r="B88" i="15" s="1"/>
  <c r="B83" i="15"/>
  <c r="B84" i="15" s="1"/>
  <c r="G79" i="15"/>
  <c r="G80" i="15" s="1"/>
  <c r="G75" i="15"/>
  <c r="G76" i="15" s="1"/>
  <c r="G71" i="15"/>
  <c r="G72" i="15" s="1"/>
  <c r="B72" i="15"/>
  <c r="B68" i="15"/>
  <c r="G60" i="15"/>
  <c r="G55" i="15"/>
  <c r="G56" i="15" s="1"/>
  <c r="G52" i="15"/>
  <c r="G48" i="15"/>
  <c r="G44" i="15"/>
  <c r="G40" i="15"/>
  <c r="B55" i="15"/>
  <c r="B56" i="15" s="1"/>
  <c r="B52" i="15"/>
  <c r="B48" i="15"/>
  <c r="B43" i="15"/>
  <c r="B44" i="15" s="1"/>
  <c r="B39" i="15"/>
  <c r="B40" i="15" s="1"/>
  <c r="J16" i="9"/>
  <c r="G16" i="9"/>
  <c r="J15" i="9"/>
  <c r="G15" i="9"/>
  <c r="J14" i="9"/>
  <c r="G14" i="9"/>
  <c r="J13" i="9"/>
  <c r="G13" i="9"/>
  <c r="J12" i="9"/>
  <c r="J11" i="9"/>
  <c r="J10" i="9"/>
  <c r="C207" i="15"/>
  <c r="G12" i="9" s="1"/>
  <c r="C206" i="15"/>
  <c r="G11" i="9" s="1"/>
  <c r="C205" i="15"/>
  <c r="G10" i="9" s="1"/>
  <c r="O60" i="9" l="1"/>
  <c r="Q60" i="9" s="1"/>
  <c r="O58" i="9"/>
  <c r="Q58" i="9" s="1"/>
  <c r="O62" i="9"/>
  <c r="Q62" i="9" s="1"/>
  <c r="O61" i="9"/>
  <c r="Q61" i="9" s="1"/>
  <c r="O59" i="9"/>
  <c r="Q59" i="9" s="1"/>
  <c r="O57" i="9"/>
  <c r="Q57" i="9" s="1"/>
  <c r="O56" i="9"/>
  <c r="B140" i="15"/>
  <c r="B141" i="15" s="1"/>
  <c r="G117" i="4" s="1"/>
  <c r="L53" i="9" s="1"/>
  <c r="G100" i="15"/>
  <c r="G101" i="15" s="1"/>
  <c r="G114" i="4" s="1"/>
  <c r="L44" i="9" s="1"/>
  <c r="B112" i="15"/>
  <c r="B113" i="15" s="1"/>
  <c r="G115" i="4" s="1"/>
  <c r="L45" i="9" s="1"/>
  <c r="B76" i="15"/>
  <c r="B77" i="15" s="1"/>
  <c r="G111" i="4" s="1"/>
  <c r="L40" i="9" s="1"/>
  <c r="B92" i="15"/>
  <c r="B93" i="15" s="1"/>
  <c r="G113" i="4" s="1"/>
  <c r="L43" i="9" s="1"/>
  <c r="G64" i="15"/>
  <c r="G65" i="15" s="1"/>
  <c r="G110" i="4" s="1"/>
  <c r="L37" i="9" s="1"/>
  <c r="B60" i="15"/>
  <c r="B61" i="15" s="1"/>
  <c r="G109" i="4" s="1"/>
  <c r="L36" i="9" s="1"/>
  <c r="P36" i="9" s="1"/>
  <c r="G84" i="15"/>
  <c r="G85" i="15" s="1"/>
  <c r="G112" i="4" s="1"/>
  <c r="L42" i="9" s="1"/>
  <c r="C208" i="15"/>
  <c r="Q36" i="9" l="1"/>
  <c r="Q56" i="9"/>
  <c r="O63" i="9"/>
  <c r="AF88" i="8"/>
  <c r="T87" i="8"/>
  <c r="R86" i="8"/>
  <c r="F214" i="14" l="1"/>
  <c r="D221" i="14" s="1"/>
  <c r="D178" i="13"/>
  <c r="B154" i="13"/>
  <c r="C151" i="13"/>
  <c r="D151" i="13" s="1"/>
  <c r="O31" i="7"/>
  <c r="C43" i="13"/>
  <c r="G30" i="7" s="1"/>
  <c r="K28" i="6"/>
  <c r="G28" i="6"/>
  <c r="K27" i="6"/>
  <c r="G27" i="6"/>
  <c r="N130" i="5"/>
  <c r="P130" i="5"/>
  <c r="N124" i="5"/>
  <c r="P124" i="5"/>
  <c r="K123" i="5"/>
  <c r="K129" i="5" s="1"/>
  <c r="G123" i="5"/>
  <c r="C128" i="11"/>
  <c r="E128" i="11" s="1"/>
  <c r="G129" i="5" s="1"/>
  <c r="B128" i="11"/>
  <c r="C90" i="11"/>
  <c r="M117" i="5"/>
  <c r="L117" i="5"/>
  <c r="J117" i="5"/>
  <c r="M116" i="5"/>
  <c r="L116" i="5"/>
  <c r="J116" i="5"/>
  <c r="K115" i="5"/>
  <c r="K114" i="5"/>
  <c r="K113" i="5"/>
  <c r="G70" i="11"/>
  <c r="G115" i="5" s="1"/>
  <c r="C70" i="11"/>
  <c r="G114" i="5" s="1"/>
  <c r="D69" i="11"/>
  <c r="D70" i="11" s="1"/>
  <c r="G113" i="5" s="1"/>
  <c r="O27" i="6" l="1"/>
  <c r="D220" i="14"/>
  <c r="O28" i="6"/>
  <c r="O129" i="5"/>
  <c r="O123" i="5"/>
  <c r="E129" i="11"/>
  <c r="O113" i="5"/>
  <c r="O115" i="5"/>
  <c r="O114" i="5"/>
  <c r="Q129" i="5" l="1"/>
  <c r="Q130" i="5" s="1"/>
  <c r="O130" i="5"/>
  <c r="Q123" i="5"/>
  <c r="Q124" i="5" s="1"/>
  <c r="O124" i="5"/>
  <c r="C80" i="11" l="1"/>
  <c r="E80" i="11" s="1"/>
  <c r="G117" i="5" s="1"/>
  <c r="C75" i="11"/>
  <c r="D75" i="11" s="1"/>
  <c r="F75" i="11" s="1"/>
  <c r="G116" i="5" s="1"/>
  <c r="D137" i="13"/>
  <c r="G51" i="7" s="1"/>
  <c r="C36" i="13"/>
  <c r="G29" i="7" s="1"/>
  <c r="R85" i="8"/>
  <c r="G85" i="8"/>
  <c r="AN85" i="8" l="1"/>
  <c r="R116" i="5"/>
  <c r="N116" i="5"/>
  <c r="P116" i="5"/>
  <c r="O116" i="5"/>
  <c r="N117" i="5"/>
  <c r="R117" i="5"/>
  <c r="P117" i="5"/>
  <c r="O117" i="5"/>
  <c r="Q117" i="5" l="1"/>
  <c r="R118" i="5"/>
  <c r="O118" i="5"/>
  <c r="Q116" i="5"/>
  <c r="BA85" i="8" l="1"/>
  <c r="G195" i="14"/>
  <c r="AB78" i="8" s="1"/>
  <c r="G196" i="14"/>
  <c r="AC79" i="8" s="1"/>
  <c r="G197" i="14"/>
  <c r="U80" i="8" s="1"/>
  <c r="G198" i="14"/>
  <c r="Q81" i="8" s="1"/>
  <c r="G199" i="14"/>
  <c r="S82" i="8" s="1"/>
  <c r="G200" i="14"/>
  <c r="V83" i="8" s="1"/>
  <c r="G201" i="14"/>
  <c r="T84" i="8" s="1"/>
  <c r="G194" i="14"/>
  <c r="R77" i="8" s="1"/>
  <c r="E195" i="14"/>
  <c r="E196" i="14"/>
  <c r="E197" i="14"/>
  <c r="E198" i="14"/>
  <c r="E199" i="14"/>
  <c r="E200" i="14"/>
  <c r="E201" i="14"/>
  <c r="E194" i="14"/>
  <c r="Z76" i="8" l="1"/>
  <c r="S75" i="8"/>
  <c r="G76" i="8"/>
  <c r="G75" i="8"/>
  <c r="Z74" i="8"/>
  <c r="S73" i="8"/>
  <c r="F188" i="14"/>
  <c r="F169" i="14"/>
  <c r="D175" i="14" s="1"/>
  <c r="G72" i="8"/>
  <c r="V71" i="8"/>
  <c r="G71" i="8"/>
  <c r="N70" i="8"/>
  <c r="G70" i="8"/>
  <c r="S69" i="8"/>
  <c r="G69" i="8"/>
  <c r="P68" i="8"/>
  <c r="G68" i="8"/>
  <c r="Q67" i="8"/>
  <c r="G67" i="8"/>
  <c r="O66" i="8"/>
  <c r="G65" i="8"/>
  <c r="G66" i="8"/>
  <c r="R65" i="8"/>
  <c r="M64" i="8"/>
  <c r="G64" i="8"/>
  <c r="Y54" i="8"/>
  <c r="V53" i="8"/>
  <c r="N52" i="8"/>
  <c r="G52" i="8"/>
  <c r="S51" i="8"/>
  <c r="P50" i="8"/>
  <c r="Q49" i="8"/>
  <c r="O48" i="8"/>
  <c r="R47" i="8"/>
  <c r="F221" i="14" l="1"/>
  <c r="G87" i="8" s="1"/>
  <c r="AP87" i="8" s="1"/>
  <c r="BA87" i="8" s="1"/>
  <c r="F220" i="14"/>
  <c r="G86" i="8" s="1"/>
  <c r="AN86" i="8" s="1"/>
  <c r="BA86" i="8" s="1"/>
  <c r="D194" i="14"/>
  <c r="D200" i="14"/>
  <c r="F200" i="14" s="1"/>
  <c r="G83" i="8" s="1"/>
  <c r="AR83" i="8" s="1"/>
  <c r="D201" i="14"/>
  <c r="F201" i="14" s="1"/>
  <c r="G84" i="8" s="1"/>
  <c r="AP84" i="8" s="1"/>
  <c r="BA84" i="8" s="1"/>
  <c r="D195" i="14"/>
  <c r="D196" i="14"/>
  <c r="F196" i="14" s="1"/>
  <c r="G79" i="8" s="1"/>
  <c r="AY79" i="8" s="1"/>
  <c r="D199" i="14"/>
  <c r="F199" i="14" s="1"/>
  <c r="G82" i="8" s="1"/>
  <c r="AO82" i="8" s="1"/>
  <c r="D197" i="14"/>
  <c r="F197" i="14" s="1"/>
  <c r="G80" i="8" s="1"/>
  <c r="AQ80" i="8" s="1"/>
  <c r="D198" i="14"/>
  <c r="F198" i="14" s="1"/>
  <c r="G81" i="8" s="1"/>
  <c r="AM81" i="8" s="1"/>
  <c r="BA81" i="8" s="1"/>
  <c r="D176" i="14"/>
  <c r="AO75" i="8"/>
  <c r="BA75" i="8" s="1"/>
  <c r="AV76" i="8"/>
  <c r="BA76" i="8" s="1"/>
  <c r="AN65" i="8"/>
  <c r="BA65" i="8" s="1"/>
  <c r="AO69" i="8"/>
  <c r="BA69" i="8" s="1"/>
  <c r="AR71" i="8"/>
  <c r="BA71" i="8" s="1"/>
  <c r="AI64" i="8"/>
  <c r="BA64" i="8" s="1"/>
  <c r="AJ70" i="8"/>
  <c r="BA70" i="8" s="1"/>
  <c r="AK66" i="8"/>
  <c r="BA66" i="8" s="1"/>
  <c r="AM67" i="8"/>
  <c r="BA67" i="8" s="1"/>
  <c r="AL68" i="8"/>
  <c r="BA68" i="8" s="1"/>
  <c r="AJ52" i="8"/>
  <c r="M46" i="8"/>
  <c r="F63" i="14"/>
  <c r="AA45" i="8"/>
  <c r="G45" i="8"/>
  <c r="G44" i="8"/>
  <c r="AG44" i="8" s="1"/>
  <c r="BA44" i="8" s="1"/>
  <c r="K43" i="8"/>
  <c r="G43" i="8"/>
  <c r="G42" i="8"/>
  <c r="AG42" i="8" s="1"/>
  <c r="BA42" i="8" s="1"/>
  <c r="K26" i="6"/>
  <c r="G26" i="6"/>
  <c r="K128" i="6"/>
  <c r="G128" i="6"/>
  <c r="K127" i="6"/>
  <c r="G127" i="6"/>
  <c r="K126" i="6"/>
  <c r="G126" i="6"/>
  <c r="K25" i="6"/>
  <c r="G25" i="6"/>
  <c r="K24" i="6"/>
  <c r="G24" i="6"/>
  <c r="K23" i="6"/>
  <c r="G23" i="6"/>
  <c r="K22" i="6"/>
  <c r="G22" i="6"/>
  <c r="M67" i="5"/>
  <c r="L67" i="5"/>
  <c r="J67" i="5"/>
  <c r="M66" i="5"/>
  <c r="L66" i="5"/>
  <c r="J66" i="5"/>
  <c r="K65" i="5"/>
  <c r="G65" i="5"/>
  <c r="K64" i="5"/>
  <c r="G64" i="5"/>
  <c r="K63" i="5"/>
  <c r="G63" i="5"/>
  <c r="K62" i="5"/>
  <c r="D52" i="11"/>
  <c r="G62" i="5" s="1"/>
  <c r="D70" i="14" l="1"/>
  <c r="F70" i="14" s="1"/>
  <c r="G47" i="8" s="1"/>
  <c r="AN47" i="8" s="1"/>
  <c r="BA47" i="8" s="1"/>
  <c r="F111" i="14"/>
  <c r="G63" i="8" s="1"/>
  <c r="AU63" i="8" s="1"/>
  <c r="BA63" i="8" s="1"/>
  <c r="F110" i="14"/>
  <c r="G62" i="8" s="1"/>
  <c r="AR62" i="8" s="1"/>
  <c r="BA62" i="8" s="1"/>
  <c r="F105" i="14"/>
  <c r="G57" i="8" s="1"/>
  <c r="AK57" i="8" s="1"/>
  <c r="BA57" i="8" s="1"/>
  <c r="F106" i="14"/>
  <c r="G58" i="8" s="1"/>
  <c r="AM58" i="8" s="1"/>
  <c r="BA58" i="8" s="1"/>
  <c r="F109" i="14"/>
  <c r="G61" i="8" s="1"/>
  <c r="AJ61" i="8" s="1"/>
  <c r="BA61" i="8" s="1"/>
  <c r="F104" i="14"/>
  <c r="G56" i="8" s="1"/>
  <c r="AN56" i="8" s="1"/>
  <c r="BA56" i="8" s="1"/>
  <c r="F107" i="14"/>
  <c r="G59" i="8" s="1"/>
  <c r="AL59" i="8" s="1"/>
  <c r="BA59" i="8" s="1"/>
  <c r="F108" i="14"/>
  <c r="G60" i="8" s="1"/>
  <c r="AO60" i="8" s="1"/>
  <c r="BA60" i="8" s="1"/>
  <c r="F103" i="14"/>
  <c r="G55" i="8" s="1"/>
  <c r="AI55" i="8" s="1"/>
  <c r="BA55" i="8" s="1"/>
  <c r="BA82" i="8"/>
  <c r="BA80" i="8"/>
  <c r="BA79" i="8"/>
  <c r="BA83" i="8"/>
  <c r="BA52" i="8"/>
  <c r="AG43" i="8"/>
  <c r="BA43" i="8" s="1"/>
  <c r="D76" i="14"/>
  <c r="F76" i="14" s="1"/>
  <c r="G53" i="8" s="1"/>
  <c r="AR53" i="8" s="1"/>
  <c r="D77" i="14"/>
  <c r="F77" i="14" s="1"/>
  <c r="G54" i="8" s="1"/>
  <c r="D75" i="14"/>
  <c r="F75" i="14" s="1"/>
  <c r="D74" i="14"/>
  <c r="F74" i="14" s="1"/>
  <c r="G51" i="8" s="1"/>
  <c r="AO51" i="8" s="1"/>
  <c r="BA51" i="8" s="1"/>
  <c r="D73" i="14"/>
  <c r="F73" i="14" s="1"/>
  <c r="G50" i="8" s="1"/>
  <c r="AL50" i="8" s="1"/>
  <c r="BA50" i="8" s="1"/>
  <c r="D72" i="14"/>
  <c r="F72" i="14" s="1"/>
  <c r="G49" i="8" s="1"/>
  <c r="AM49" i="8" s="1"/>
  <c r="BA49" i="8" s="1"/>
  <c r="D71" i="14"/>
  <c r="F71" i="14" s="1"/>
  <c r="G48" i="8" s="1"/>
  <c r="AK48" i="8" s="1"/>
  <c r="BA48" i="8" s="1"/>
  <c r="D69" i="14"/>
  <c r="AW45" i="8"/>
  <c r="O26" i="6"/>
  <c r="O128" i="6"/>
  <c r="O127" i="6"/>
  <c r="O126" i="6"/>
  <c r="O25" i="6"/>
  <c r="O24" i="6"/>
  <c r="O23" i="6"/>
  <c r="O22" i="6"/>
  <c r="O65" i="5"/>
  <c r="O64" i="5"/>
  <c r="O62" i="5"/>
  <c r="O63" i="5"/>
  <c r="BA45" i="8" l="1"/>
  <c r="BA53" i="8"/>
  <c r="C62" i="11" l="1"/>
  <c r="E62" i="11" s="1"/>
  <c r="G67" i="5" s="1"/>
  <c r="D57" i="11"/>
  <c r="F57" i="11" s="1"/>
  <c r="G66" i="5" s="1"/>
  <c r="P67" i="5" l="1"/>
  <c r="N67" i="5"/>
  <c r="O67" i="5"/>
  <c r="R67" i="5"/>
  <c r="O66" i="5"/>
  <c r="R66" i="5"/>
  <c r="R68" i="5" s="1"/>
  <c r="P66" i="5"/>
  <c r="N66" i="5"/>
  <c r="C77" i="13"/>
  <c r="D77" i="13" s="1"/>
  <c r="Q66" i="5" l="1"/>
  <c r="Q67" i="5"/>
  <c r="C29" i="13"/>
  <c r="G28" i="7" s="1"/>
  <c r="G157" i="14" l="1"/>
  <c r="W41" i="8" s="1"/>
  <c r="G156" i="14"/>
  <c r="R40" i="8" s="1"/>
  <c r="E157" i="14"/>
  <c r="E156" i="14"/>
  <c r="W35" i="8"/>
  <c r="S39" i="8" l="1"/>
  <c r="P38" i="8"/>
  <c r="Q37" i="8"/>
  <c r="R36" i="8"/>
  <c r="F150" i="14"/>
  <c r="F131" i="14"/>
  <c r="G35" i="8"/>
  <c r="AS35" i="8" s="1"/>
  <c r="O34" i="8"/>
  <c r="G34" i="8"/>
  <c r="S33" i="8"/>
  <c r="G33" i="8"/>
  <c r="G32" i="8"/>
  <c r="D140" i="14" l="1"/>
  <c r="F140" i="14" s="1"/>
  <c r="G39" i="8" s="1"/>
  <c r="AO39" i="8" s="1"/>
  <c r="BA39" i="8" s="1"/>
  <c r="F176" i="14"/>
  <c r="G74" i="8" s="1"/>
  <c r="AV74" i="8" s="1"/>
  <c r="F175" i="14"/>
  <c r="G73" i="8" s="1"/>
  <c r="AO73" i="8" s="1"/>
  <c r="BA73" i="8" s="1"/>
  <c r="F195" i="14"/>
  <c r="G78" i="8" s="1"/>
  <c r="AX78" i="8" s="1"/>
  <c r="F194" i="14"/>
  <c r="G77" i="8" s="1"/>
  <c r="AN77" i="8" s="1"/>
  <c r="BA77" i="8" s="1"/>
  <c r="AO33" i="8"/>
  <c r="D157" i="14"/>
  <c r="F157" i="14" s="1"/>
  <c r="G41" i="8" s="1"/>
  <c r="D156" i="14"/>
  <c r="F156" i="14" s="1"/>
  <c r="G40" i="8" s="1"/>
  <c r="AK34" i="8"/>
  <c r="D139" i="14"/>
  <c r="F139" i="14" s="1"/>
  <c r="G38" i="8" s="1"/>
  <c r="AL38" i="8" s="1"/>
  <c r="D138" i="14"/>
  <c r="F138" i="14" s="1"/>
  <c r="G37" i="8" s="1"/>
  <c r="AM37" i="8" s="1"/>
  <c r="D137" i="14"/>
  <c r="F137" i="14" s="1"/>
  <c r="G36" i="8" s="1"/>
  <c r="AN36" i="8" s="1"/>
  <c r="BA36" i="8" s="1"/>
  <c r="BA78" i="8" l="1"/>
  <c r="BA74" i="8"/>
  <c r="BA37" i="8"/>
  <c r="BA38" i="8"/>
  <c r="AN40" i="8"/>
  <c r="AS41" i="8"/>
  <c r="R31" i="8"/>
  <c r="G31" i="8"/>
  <c r="AN31" i="8" l="1"/>
  <c r="W30" i="8"/>
  <c r="O29" i="8"/>
  <c r="S28" i="8"/>
  <c r="X27" i="8"/>
  <c r="R26" i="8"/>
  <c r="E180" i="4" l="1"/>
  <c r="Y72" i="8" l="1"/>
  <c r="AU72" i="8" s="1"/>
  <c r="BA72" i="8" s="1"/>
  <c r="AU54" i="8"/>
  <c r="X32" i="8"/>
  <c r="AT32" i="8" s="1"/>
  <c r="F36" i="14"/>
  <c r="G25" i="8"/>
  <c r="K25" i="8"/>
  <c r="G24" i="8"/>
  <c r="AG24" i="8" s="1"/>
  <c r="BA24" i="8" s="1"/>
  <c r="K125" i="6"/>
  <c r="K124" i="6"/>
  <c r="G125" i="6"/>
  <c r="G124" i="6"/>
  <c r="K21" i="6"/>
  <c r="K20" i="6"/>
  <c r="G21" i="6"/>
  <c r="G20" i="6"/>
  <c r="K19" i="6"/>
  <c r="G19" i="6"/>
  <c r="K18" i="6"/>
  <c r="G18" i="6"/>
  <c r="K38" i="5"/>
  <c r="K37" i="5"/>
  <c r="K36" i="5"/>
  <c r="K35" i="5"/>
  <c r="C37" i="11"/>
  <c r="D38" i="11"/>
  <c r="D37" i="11"/>
  <c r="F37" i="11"/>
  <c r="M39" i="5"/>
  <c r="L39" i="5"/>
  <c r="J39" i="5"/>
  <c r="G35" i="5" l="1"/>
  <c r="O35" i="5" s="1"/>
  <c r="BA54" i="8"/>
  <c r="D46" i="14"/>
  <c r="F46" i="14" s="1"/>
  <c r="G30" i="8" s="1"/>
  <c r="AS30" i="8" s="1"/>
  <c r="F69" i="14"/>
  <c r="G46" i="8" s="1"/>
  <c r="AI46" i="8" s="1"/>
  <c r="O18" i="6"/>
  <c r="O125" i="6"/>
  <c r="D45" i="14"/>
  <c r="F45" i="14" s="1"/>
  <c r="G29" i="8" s="1"/>
  <c r="AK29" i="8" s="1"/>
  <c r="D42" i="14"/>
  <c r="D44" i="14"/>
  <c r="F44" i="14" s="1"/>
  <c r="G28" i="8" s="1"/>
  <c r="AO28" i="8" s="1"/>
  <c r="D43" i="14"/>
  <c r="F43" i="14" s="1"/>
  <c r="G27" i="8" s="1"/>
  <c r="AT27" i="8" s="1"/>
  <c r="AG25" i="8"/>
  <c r="BA25" i="8" s="1"/>
  <c r="O124" i="6"/>
  <c r="O19" i="6"/>
  <c r="O20" i="6"/>
  <c r="O21" i="6"/>
  <c r="BA46" i="8" l="1"/>
  <c r="O129" i="6"/>
  <c r="C38" i="11"/>
  <c r="G36" i="5" s="1"/>
  <c r="F38" i="11"/>
  <c r="G37" i="5" s="1"/>
  <c r="G38" i="11"/>
  <c r="G38" i="5" s="1"/>
  <c r="C43" i="11"/>
  <c r="D43" i="11" s="1"/>
  <c r="F43" i="11" s="1"/>
  <c r="G39" i="5" s="1"/>
  <c r="R39" i="5" l="1"/>
  <c r="R40" i="5" s="1"/>
  <c r="N39" i="5"/>
  <c r="O39" i="5"/>
  <c r="P39" i="5"/>
  <c r="O36" i="5"/>
  <c r="O37" i="5"/>
  <c r="O38" i="5"/>
  <c r="O40" i="5" l="1"/>
  <c r="Q39" i="5"/>
  <c r="Q37" i="7" l="1"/>
  <c r="N37" i="7"/>
  <c r="C71" i="13"/>
  <c r="D71" i="13" s="1"/>
  <c r="C182" i="13" l="1"/>
  <c r="E131" i="4" s="1"/>
  <c r="J27" i="7" s="1"/>
  <c r="C163" i="13"/>
  <c r="C147" i="13"/>
  <c r="D147" i="13" s="1"/>
  <c r="G21" i="5"/>
  <c r="C22" i="13"/>
  <c r="G26" i="7" s="1"/>
  <c r="C18" i="13"/>
  <c r="G25" i="7" s="1"/>
  <c r="Q74" i="7"/>
  <c r="T23" i="8"/>
  <c r="R22" i="8"/>
  <c r="D124" i="14"/>
  <c r="F124" i="14" s="1"/>
  <c r="G23" i="8" s="1"/>
  <c r="D123" i="14"/>
  <c r="F123" i="14" s="1"/>
  <c r="G22" i="8" s="1"/>
  <c r="S21" i="8"/>
  <c r="O20" i="8"/>
  <c r="F22" i="14"/>
  <c r="D29" i="14" s="1"/>
  <c r="F29" i="14" s="1"/>
  <c r="G21" i="8" s="1"/>
  <c r="G9" i="4"/>
  <c r="E9" i="4"/>
  <c r="K19" i="8"/>
  <c r="G19" i="8"/>
  <c r="K50" i="6"/>
  <c r="K49" i="6"/>
  <c r="K48" i="6"/>
  <c r="G48" i="6"/>
  <c r="G50" i="6"/>
  <c r="G49" i="6"/>
  <c r="G39" i="6"/>
  <c r="G38" i="6"/>
  <c r="K39" i="6"/>
  <c r="K38" i="6"/>
  <c r="K17" i="6"/>
  <c r="G17" i="6"/>
  <c r="K16" i="6"/>
  <c r="K15" i="6"/>
  <c r="G16" i="6"/>
  <c r="G15" i="6"/>
  <c r="L30" i="7" l="1"/>
  <c r="P30" i="7" s="1"/>
  <c r="L29" i="7"/>
  <c r="P29" i="7" s="1"/>
  <c r="J30" i="7"/>
  <c r="N30" i="7" s="1"/>
  <c r="Q30" i="7" s="1"/>
  <c r="J29" i="7"/>
  <c r="N29" i="7" s="1"/>
  <c r="Q29" i="7" s="1"/>
  <c r="J25" i="7"/>
  <c r="N25" i="7" s="1"/>
  <c r="J28" i="7"/>
  <c r="N28" i="7" s="1"/>
  <c r="L26" i="7"/>
  <c r="P26" i="7" s="1"/>
  <c r="L28" i="7"/>
  <c r="P28" i="7" s="1"/>
  <c r="J26" i="7"/>
  <c r="N26" i="7" s="1"/>
  <c r="L25" i="7"/>
  <c r="P25" i="7" s="1"/>
  <c r="AN22" i="8"/>
  <c r="AP23" i="8"/>
  <c r="D28" i="14"/>
  <c r="F28" i="14" s="1"/>
  <c r="G20" i="8" s="1"/>
  <c r="AK20" i="8" s="1"/>
  <c r="AO21" i="8"/>
  <c r="AG19" i="8"/>
  <c r="O50" i="6"/>
  <c r="O49" i="6"/>
  <c r="O48" i="6"/>
  <c r="O15" i="6"/>
  <c r="O39" i="6"/>
  <c r="Q39" i="6" s="1"/>
  <c r="O38" i="6"/>
  <c r="Q38" i="6" s="1"/>
  <c r="O17" i="6"/>
  <c r="O16" i="6"/>
  <c r="BA23" i="8" l="1"/>
  <c r="BA22" i="8"/>
  <c r="BA19" i="8"/>
  <c r="BA21" i="8"/>
  <c r="BA20" i="8"/>
  <c r="Q26" i="7"/>
  <c r="Q25" i="7"/>
  <c r="M15" i="5" l="1"/>
  <c r="L15" i="5"/>
  <c r="J15" i="5"/>
  <c r="M14" i="5"/>
  <c r="L14" i="5"/>
  <c r="J14" i="5"/>
  <c r="K13" i="5"/>
  <c r="K12" i="5"/>
  <c r="K11" i="5"/>
  <c r="K10" i="5"/>
  <c r="G10" i="5"/>
  <c r="G20" i="11"/>
  <c r="G13" i="5" s="1"/>
  <c r="C20" i="11"/>
  <c r="C30" i="11"/>
  <c r="E30" i="11" s="1"/>
  <c r="G15" i="5" s="1"/>
  <c r="O15" i="5" s="1"/>
  <c r="C25" i="11"/>
  <c r="D25" i="11" s="1"/>
  <c r="F25" i="11" s="1"/>
  <c r="G14" i="5" s="1"/>
  <c r="O14" i="5" s="1"/>
  <c r="G11" i="5" l="1"/>
  <c r="N14" i="5"/>
  <c r="P14" i="5"/>
  <c r="R14" i="5"/>
  <c r="N15" i="5"/>
  <c r="P15" i="5"/>
  <c r="R15" i="5"/>
  <c r="O13" i="5"/>
  <c r="Q14" i="5" l="1"/>
  <c r="Q15" i="5"/>
  <c r="F20" i="11"/>
  <c r="G12" i="5" s="1"/>
  <c r="J60" i="7" l="1"/>
  <c r="G60" i="7"/>
  <c r="J66" i="7" l="1"/>
  <c r="J65" i="7"/>
  <c r="M247" i="13"/>
  <c r="G247" i="13"/>
  <c r="H247" i="13" s="1"/>
  <c r="M246" i="13"/>
  <c r="G246" i="13"/>
  <c r="H246" i="13" s="1"/>
  <c r="M245" i="13"/>
  <c r="G245" i="13"/>
  <c r="H245" i="13" s="1"/>
  <c r="M244" i="13"/>
  <c r="G244" i="13"/>
  <c r="H244" i="13" s="1"/>
  <c r="M243" i="13"/>
  <c r="G243" i="13"/>
  <c r="H243" i="13" s="1"/>
  <c r="M242" i="13"/>
  <c r="G242" i="13"/>
  <c r="H242" i="13" s="1"/>
  <c r="M241" i="13"/>
  <c r="G241" i="13"/>
  <c r="H241" i="13" s="1"/>
  <c r="M240" i="13"/>
  <c r="G240" i="13"/>
  <c r="H240" i="13" s="1"/>
  <c r="M239" i="13"/>
  <c r="G239" i="13"/>
  <c r="H239" i="13" s="1"/>
  <c r="M238" i="13"/>
  <c r="G238" i="13"/>
  <c r="H238" i="13" s="1"/>
  <c r="M237" i="13"/>
  <c r="G237" i="13"/>
  <c r="H237" i="13" s="1"/>
  <c r="M236" i="13"/>
  <c r="G236" i="13"/>
  <c r="H236" i="13" s="1"/>
  <c r="M235" i="13"/>
  <c r="G235" i="13"/>
  <c r="H235" i="13" s="1"/>
  <c r="M234" i="13"/>
  <c r="G234" i="13"/>
  <c r="H234" i="13" s="1"/>
  <c r="M233" i="13"/>
  <c r="G233" i="13"/>
  <c r="H233" i="13" s="1"/>
  <c r="M232" i="13"/>
  <c r="G232" i="13"/>
  <c r="H232" i="13" s="1"/>
  <c r="M231" i="13"/>
  <c r="G231" i="13"/>
  <c r="H231" i="13" s="1"/>
  <c r="J64" i="7"/>
  <c r="J63" i="7"/>
  <c r="M223" i="13"/>
  <c r="M222" i="13"/>
  <c r="M221" i="13"/>
  <c r="M220" i="13"/>
  <c r="M219" i="13"/>
  <c r="M218" i="13"/>
  <c r="M217" i="13"/>
  <c r="M216" i="13"/>
  <c r="G223" i="13"/>
  <c r="H223" i="13" s="1"/>
  <c r="G222" i="13"/>
  <c r="H222" i="13" s="1"/>
  <c r="G221" i="13"/>
  <c r="H221" i="13" s="1"/>
  <c r="G220" i="13"/>
  <c r="H220" i="13" s="1"/>
  <c r="N220" i="13" s="1"/>
  <c r="G219" i="13"/>
  <c r="H219" i="13" s="1"/>
  <c r="G218" i="13"/>
  <c r="H218" i="13" s="1"/>
  <c r="G217" i="13"/>
  <c r="H217" i="13" s="1"/>
  <c r="G216" i="13"/>
  <c r="H216" i="13" s="1"/>
  <c r="J62" i="7"/>
  <c r="J61" i="7"/>
  <c r="I60" i="7"/>
  <c r="N222" i="13" l="1"/>
  <c r="P222" i="13" s="1"/>
  <c r="Q222" i="13" s="1"/>
  <c r="N218" i="13"/>
  <c r="P218" i="13" s="1"/>
  <c r="Q218" i="13" s="1"/>
  <c r="N219" i="13"/>
  <c r="P219" i="13" s="1"/>
  <c r="Q219" i="13" s="1"/>
  <c r="N236" i="13"/>
  <c r="P236" i="13" s="1"/>
  <c r="Q236" i="13" s="1"/>
  <c r="N233" i="13"/>
  <c r="P233" i="13" s="1"/>
  <c r="Q233" i="13" s="1"/>
  <c r="N237" i="13"/>
  <c r="P237" i="13" s="1"/>
  <c r="Q237" i="13" s="1"/>
  <c r="N241" i="13"/>
  <c r="P241" i="13" s="1"/>
  <c r="Q241" i="13" s="1"/>
  <c r="N245" i="13"/>
  <c r="P245" i="13" s="1"/>
  <c r="Q245" i="13" s="1"/>
  <c r="N232" i="13"/>
  <c r="P232" i="13" s="1"/>
  <c r="Q232" i="13" s="1"/>
  <c r="N244" i="13"/>
  <c r="P244" i="13" s="1"/>
  <c r="Q244" i="13" s="1"/>
  <c r="N234" i="13"/>
  <c r="P234" i="13" s="1"/>
  <c r="Q234" i="13" s="1"/>
  <c r="N238" i="13"/>
  <c r="P238" i="13" s="1"/>
  <c r="Q238" i="13" s="1"/>
  <c r="N242" i="13"/>
  <c r="P242" i="13" s="1"/>
  <c r="Q242" i="13" s="1"/>
  <c r="N246" i="13"/>
  <c r="P246" i="13" s="1"/>
  <c r="Q246" i="13" s="1"/>
  <c r="N240" i="13"/>
  <c r="N231" i="13"/>
  <c r="P231" i="13" s="1"/>
  <c r="Q231" i="13" s="1"/>
  <c r="N235" i="13"/>
  <c r="P235" i="13" s="1"/>
  <c r="Q235" i="13" s="1"/>
  <c r="N239" i="13"/>
  <c r="P239" i="13" s="1"/>
  <c r="Q239" i="13" s="1"/>
  <c r="N243" i="13"/>
  <c r="P243" i="13" s="1"/>
  <c r="Q243" i="13" s="1"/>
  <c r="N247" i="13"/>
  <c r="P247" i="13" s="1"/>
  <c r="Q247" i="13" s="1"/>
  <c r="N216" i="13"/>
  <c r="P216" i="13" s="1"/>
  <c r="Q216" i="13" s="1"/>
  <c r="N223" i="13"/>
  <c r="P223" i="13" s="1"/>
  <c r="Q223" i="13" s="1"/>
  <c r="N217" i="13"/>
  <c r="P217" i="13" s="1"/>
  <c r="Q217" i="13" s="1"/>
  <c r="N221" i="13"/>
  <c r="P221" i="13" s="1"/>
  <c r="Q221" i="13" s="1"/>
  <c r="P220" i="13"/>
  <c r="Q220" i="13" s="1"/>
  <c r="Q224" i="13" l="1"/>
  <c r="G63" i="7" s="1"/>
  <c r="N248" i="13"/>
  <c r="G66" i="7" s="1"/>
  <c r="P240" i="13"/>
  <c r="Q240" i="13" s="1"/>
  <c r="Q248" i="13" s="1"/>
  <c r="G65" i="7" s="1"/>
  <c r="N224" i="13"/>
  <c r="G64" i="7" s="1"/>
  <c r="M208" i="13" l="1"/>
  <c r="G208" i="13"/>
  <c r="H208" i="13" s="1"/>
  <c r="M207" i="13"/>
  <c r="G207" i="13"/>
  <c r="H207" i="13" s="1"/>
  <c r="M206" i="13"/>
  <c r="G206" i="13"/>
  <c r="H206" i="13" s="1"/>
  <c r="M205" i="13"/>
  <c r="G205" i="13"/>
  <c r="H205" i="13" s="1"/>
  <c r="M204" i="13"/>
  <c r="G204" i="13"/>
  <c r="H204" i="13" s="1"/>
  <c r="M203" i="13"/>
  <c r="G203" i="13"/>
  <c r="H203" i="13" s="1"/>
  <c r="M202" i="13"/>
  <c r="G202" i="13"/>
  <c r="H202" i="13" s="1"/>
  <c r="M201" i="13"/>
  <c r="G201" i="13"/>
  <c r="H201" i="13" s="1"/>
  <c r="M200" i="13"/>
  <c r="G200" i="13"/>
  <c r="H200" i="13" s="1"/>
  <c r="M199" i="13"/>
  <c r="G199" i="13"/>
  <c r="H199" i="13" s="1"/>
  <c r="M198" i="13"/>
  <c r="G198" i="13"/>
  <c r="H198" i="13" s="1"/>
  <c r="M197" i="13"/>
  <c r="G197" i="13"/>
  <c r="H197" i="13" s="1"/>
  <c r="M196" i="13"/>
  <c r="G196" i="13"/>
  <c r="H196" i="13" s="1"/>
  <c r="M195" i="13"/>
  <c r="G195" i="13"/>
  <c r="H195" i="13" s="1"/>
  <c r="M194" i="13"/>
  <c r="G194" i="13"/>
  <c r="H194" i="13" s="1"/>
  <c r="M193" i="13"/>
  <c r="G193" i="13"/>
  <c r="H193" i="13" s="1"/>
  <c r="M192" i="13"/>
  <c r="G192" i="13"/>
  <c r="H192" i="13" s="1"/>
  <c r="N192" i="13" l="1"/>
  <c r="P192" i="13" s="1"/>
  <c r="Q192" i="13" s="1"/>
  <c r="N196" i="13"/>
  <c r="P196" i="13" s="1"/>
  <c r="Q196" i="13" s="1"/>
  <c r="N204" i="13"/>
  <c r="P204" i="13" s="1"/>
  <c r="Q204" i="13" s="1"/>
  <c r="N200" i="13"/>
  <c r="P200" i="13" s="1"/>
  <c r="Q200" i="13" s="1"/>
  <c r="N208" i="13"/>
  <c r="P208" i="13" s="1"/>
  <c r="Q208" i="13" s="1"/>
  <c r="N193" i="13"/>
  <c r="P193" i="13" s="1"/>
  <c r="Q193" i="13" s="1"/>
  <c r="N201" i="13"/>
  <c r="P201" i="13" s="1"/>
  <c r="Q201" i="13" s="1"/>
  <c r="N205" i="13"/>
  <c r="N197" i="13"/>
  <c r="P197" i="13" s="1"/>
  <c r="Q197" i="13" s="1"/>
  <c r="N198" i="13"/>
  <c r="P198" i="13" s="1"/>
  <c r="Q198" i="13" s="1"/>
  <c r="N202" i="13"/>
  <c r="P202" i="13" s="1"/>
  <c r="Q202" i="13" s="1"/>
  <c r="N206" i="13"/>
  <c r="P206" i="13" s="1"/>
  <c r="Q206" i="13" s="1"/>
  <c r="N194" i="13"/>
  <c r="P194" i="13" s="1"/>
  <c r="Q194" i="13" s="1"/>
  <c r="N195" i="13"/>
  <c r="P195" i="13" s="1"/>
  <c r="Q195" i="13" s="1"/>
  <c r="N199" i="13"/>
  <c r="P199" i="13" s="1"/>
  <c r="Q199" i="13" s="1"/>
  <c r="N203" i="13"/>
  <c r="P203" i="13" s="1"/>
  <c r="Q203" i="13" s="1"/>
  <c r="N207" i="13"/>
  <c r="P207" i="13" s="1"/>
  <c r="Q207" i="13" s="1"/>
  <c r="H47" i="6"/>
  <c r="H48" i="6" s="1"/>
  <c r="H49" i="6" s="1"/>
  <c r="H50" i="6" s="1"/>
  <c r="H171" i="12"/>
  <c r="F171" i="12"/>
  <c r="D171" i="12"/>
  <c r="C171" i="12"/>
  <c r="I170" i="12"/>
  <c r="J170" i="12" s="1"/>
  <c r="G170" i="12"/>
  <c r="I169" i="12"/>
  <c r="E169" i="12"/>
  <c r="G169" i="12" s="1"/>
  <c r="H95" i="12"/>
  <c r="I94" i="12"/>
  <c r="J94" i="12" s="1"/>
  <c r="I93" i="12"/>
  <c r="J93" i="12" s="1"/>
  <c r="G94" i="12"/>
  <c r="E93" i="12"/>
  <c r="G93" i="12" s="1"/>
  <c r="F95" i="12"/>
  <c r="D95" i="12"/>
  <c r="C95" i="12"/>
  <c r="I46" i="6"/>
  <c r="I47" i="6" s="1"/>
  <c r="I48" i="6" s="1"/>
  <c r="I49" i="6" s="1"/>
  <c r="I50" i="6" s="1"/>
  <c r="D86" i="12"/>
  <c r="E86" i="12" s="1"/>
  <c r="D151" i="12"/>
  <c r="E151" i="12" s="1"/>
  <c r="F151" i="12" s="1"/>
  <c r="G46" i="6" s="1"/>
  <c r="K59" i="6"/>
  <c r="K60" i="6" s="1"/>
  <c r="K72" i="6" s="1"/>
  <c r="K73" i="6" s="1"/>
  <c r="D207" i="12"/>
  <c r="C207" i="12"/>
  <c r="E207" i="12"/>
  <c r="F105" i="12"/>
  <c r="D105" i="12"/>
  <c r="E105" i="12"/>
  <c r="C105" i="12"/>
  <c r="K12" i="6"/>
  <c r="K13" i="6" s="1"/>
  <c r="K14" i="6" s="1"/>
  <c r="C80" i="12"/>
  <c r="D76" i="12" s="1"/>
  <c r="D79" i="12"/>
  <c r="D80" i="12" s="1"/>
  <c r="D132" i="12" s="1"/>
  <c r="G12" i="6" s="1"/>
  <c r="K45" i="6"/>
  <c r="K46" i="6" s="1"/>
  <c r="K47" i="6" s="1"/>
  <c r="J95" i="12" l="1"/>
  <c r="I171" i="12"/>
  <c r="I95" i="12"/>
  <c r="K93" i="12" s="1"/>
  <c r="N209" i="13"/>
  <c r="G62" i="7" s="1"/>
  <c r="P205" i="13"/>
  <c r="Q205" i="13" s="1"/>
  <c r="Q209" i="13" s="1"/>
  <c r="G61" i="7" s="1"/>
  <c r="G171" i="12"/>
  <c r="J169" i="12"/>
  <c r="J171" i="12" s="1"/>
  <c r="K170" i="12" s="1"/>
  <c r="E171" i="12"/>
  <c r="G95" i="12"/>
  <c r="E95" i="12"/>
  <c r="F86" i="12"/>
  <c r="G13" i="6" s="1"/>
  <c r="G103" i="12"/>
  <c r="G59" i="6" s="1"/>
  <c r="O59" i="6" s="1"/>
  <c r="G104" i="12"/>
  <c r="G60" i="6" s="1"/>
  <c r="G45" i="6"/>
  <c r="G73" i="5"/>
  <c r="G45" i="5"/>
  <c r="H27" i="5"/>
  <c r="H45" i="5" s="1"/>
  <c r="H51" i="5" s="1"/>
  <c r="H73" i="5" s="1"/>
  <c r="K27" i="5"/>
  <c r="K45" i="5" s="1"/>
  <c r="K51" i="5" s="1"/>
  <c r="K73" i="5" s="1"/>
  <c r="K80" i="5" s="1"/>
  <c r="I21" i="5"/>
  <c r="I27" i="5" s="1"/>
  <c r="I45" i="5" s="1"/>
  <c r="I51" i="5" s="1"/>
  <c r="I73" i="5" s="1"/>
  <c r="E119" i="11"/>
  <c r="G80" i="5" s="1"/>
  <c r="E118" i="11"/>
  <c r="G51" i="5" s="1"/>
  <c r="E117" i="11"/>
  <c r="G27" i="5" s="1"/>
  <c r="I80" i="5" l="1"/>
  <c r="I74" i="5"/>
  <c r="I81" i="5" s="1"/>
  <c r="H80" i="5"/>
  <c r="H74" i="5"/>
  <c r="H81" i="5" s="1"/>
  <c r="E120" i="11"/>
  <c r="K94" i="12"/>
  <c r="K95" i="12" s="1"/>
  <c r="G14" i="6" s="1"/>
  <c r="K169" i="12"/>
  <c r="K171" i="12" s="1"/>
  <c r="G47" i="6" s="1"/>
  <c r="O60" i="6"/>
  <c r="G105" i="12"/>
  <c r="L45" i="7"/>
  <c r="L51" i="7" s="1"/>
  <c r="P51" i="7" s="1"/>
  <c r="P52" i="7" s="1"/>
  <c r="K85" i="7" s="1"/>
  <c r="J45" i="7"/>
  <c r="J51" i="7" s="1"/>
  <c r="N51" i="7" s="1"/>
  <c r="N52" i="7" s="1"/>
  <c r="F125" i="13"/>
  <c r="D108" i="13" l="1"/>
  <c r="C107" i="13"/>
  <c r="E107" i="13"/>
  <c r="E106" i="13"/>
  <c r="C106" i="13"/>
  <c r="C53" i="13"/>
  <c r="D54" i="13" s="1"/>
  <c r="E86" i="13"/>
  <c r="C118" i="13" s="1"/>
  <c r="C165" i="13" s="1"/>
  <c r="E87" i="13"/>
  <c r="C115" i="13" s="1"/>
  <c r="C162" i="13" s="1"/>
  <c r="E88" i="13"/>
  <c r="C120" i="13" s="1"/>
  <c r="C167" i="13" s="1"/>
  <c r="E89" i="13"/>
  <c r="E90" i="13"/>
  <c r="C117" i="13" s="1"/>
  <c r="C164" i="13" s="1"/>
  <c r="E91" i="13"/>
  <c r="C119" i="13" s="1"/>
  <c r="C166" i="13" s="1"/>
  <c r="E92" i="13"/>
  <c r="E93" i="13"/>
  <c r="E94" i="13"/>
  <c r="E85" i="13"/>
  <c r="C114" i="13" s="1"/>
  <c r="C161" i="13" s="1"/>
  <c r="G142" i="4"/>
  <c r="L25" i="9" s="1"/>
  <c r="F142" i="4"/>
  <c r="I224" i="15" s="1"/>
  <c r="E142" i="4"/>
  <c r="J25" i="9" s="1"/>
  <c r="D142" i="4"/>
  <c r="E108" i="13" l="1"/>
  <c r="M25" i="9"/>
  <c r="G224" i="15"/>
  <c r="H224" i="15"/>
  <c r="C121" i="13"/>
  <c r="C108" i="13"/>
  <c r="E53" i="13" s="1"/>
  <c r="F54" i="13" s="1"/>
  <c r="G54" i="13" s="1"/>
  <c r="D59" i="13"/>
  <c r="D61" i="13"/>
  <c r="D60" i="13"/>
  <c r="D53" i="13"/>
  <c r="D56" i="13"/>
  <c r="D58" i="13"/>
  <c r="D57" i="13"/>
  <c r="D63" i="13"/>
  <c r="D55" i="13"/>
  <c r="D62" i="13"/>
  <c r="C258" i="15"/>
  <c r="D258" i="15" s="1"/>
  <c r="E260" i="15" s="1"/>
  <c r="E261" i="15" s="1"/>
  <c r="G25" i="9" s="1"/>
  <c r="N25" i="9" s="1"/>
  <c r="D257" i="15"/>
  <c r="D256" i="15"/>
  <c r="D255" i="15"/>
  <c r="D254" i="15"/>
  <c r="D253" i="15"/>
  <c r="D252" i="15"/>
  <c r="D251" i="15"/>
  <c r="D250" i="15"/>
  <c r="D249" i="15"/>
  <c r="D248" i="15"/>
  <c r="D247" i="15"/>
  <c r="D246" i="15"/>
  <c r="D245" i="15"/>
  <c r="D244" i="15"/>
  <c r="D243" i="15"/>
  <c r="D242" i="15"/>
  <c r="D241" i="15"/>
  <c r="D240" i="15"/>
  <c r="D239" i="15"/>
  <c r="D238" i="15"/>
  <c r="D237" i="15"/>
  <c r="D236" i="15"/>
  <c r="D235" i="15"/>
  <c r="D234" i="15"/>
  <c r="D233" i="15"/>
  <c r="D232" i="15"/>
  <c r="D231" i="15"/>
  <c r="D230" i="15"/>
  <c r="D229" i="15"/>
  <c r="D228" i="15"/>
  <c r="D227" i="15"/>
  <c r="D226" i="15"/>
  <c r="D225" i="15"/>
  <c r="D224" i="15"/>
  <c r="P25" i="9" l="1"/>
  <c r="Q25" i="9" s="1"/>
  <c r="B125" i="13"/>
  <c r="C168" i="13"/>
  <c r="D170" i="13" s="1"/>
  <c r="C176" i="13" s="1"/>
  <c r="G27" i="7" s="1"/>
  <c r="F58" i="13"/>
  <c r="G58" i="13" s="1"/>
  <c r="F57" i="13"/>
  <c r="G57" i="13" s="1"/>
  <c r="R25" i="9"/>
  <c r="R28" i="9" s="1"/>
  <c r="L78" i="9" s="1"/>
  <c r="D125" i="13"/>
  <c r="C125" i="13"/>
  <c r="F56" i="13"/>
  <c r="G56" i="13" s="1"/>
  <c r="F61" i="13"/>
  <c r="G61" i="13" s="1"/>
  <c r="F53" i="13"/>
  <c r="G53" i="13" s="1"/>
  <c r="F59" i="13"/>
  <c r="G59" i="13" s="1"/>
  <c r="F62" i="13"/>
  <c r="G62" i="13" s="1"/>
  <c r="F55" i="13"/>
  <c r="G55" i="13" s="1"/>
  <c r="F63" i="13"/>
  <c r="G63" i="13" s="1"/>
  <c r="F60" i="13"/>
  <c r="G60" i="13" s="1"/>
  <c r="K61" i="5"/>
  <c r="K59" i="5"/>
  <c r="K60" i="5" s="1"/>
  <c r="H61" i="5"/>
  <c r="I61" i="5"/>
  <c r="K11" i="6"/>
  <c r="K10" i="6"/>
  <c r="I11" i="6"/>
  <c r="I12" i="6" s="1"/>
  <c r="H11" i="6"/>
  <c r="H12" i="6" s="1"/>
  <c r="P27" i="7" l="1"/>
  <c r="P31" i="7" s="1"/>
  <c r="N27" i="7"/>
  <c r="N31" i="7" s="1"/>
  <c r="H59" i="6"/>
  <c r="H13" i="6"/>
  <c r="H14" i="6" s="1"/>
  <c r="I59" i="6"/>
  <c r="I13" i="6"/>
  <c r="I14" i="6" s="1"/>
  <c r="F133" i="4"/>
  <c r="F64" i="13"/>
  <c r="G64" i="13"/>
  <c r="F11" i="11"/>
  <c r="C11" i="11"/>
  <c r="D12" i="11"/>
  <c r="C13" i="12"/>
  <c r="C12" i="12"/>
  <c r="F11" i="12"/>
  <c r="F14" i="12" s="1"/>
  <c r="E11" i="12"/>
  <c r="D11" i="12"/>
  <c r="C11" i="12"/>
  <c r="J16" i="7"/>
  <c r="I16" i="7"/>
  <c r="C14" i="12" l="1"/>
  <c r="G11" i="6" s="1"/>
  <c r="D14" i="12"/>
  <c r="G10" i="6" s="1"/>
  <c r="F12" i="11"/>
  <c r="G60" i="5" s="1"/>
  <c r="K45" i="7"/>
  <c r="K51" i="7" s="1"/>
  <c r="O51" i="7"/>
  <c r="O52" i="7" s="1"/>
  <c r="J85" i="7" s="1"/>
  <c r="C12" i="11"/>
  <c r="G61" i="5" s="1"/>
  <c r="B81" i="13"/>
  <c r="G45" i="7" s="1"/>
  <c r="O45" i="7" s="1"/>
  <c r="Q27" i="7"/>
  <c r="H60" i="6"/>
  <c r="H72" i="6"/>
  <c r="H73" i="6" s="1"/>
  <c r="I60" i="6"/>
  <c r="I72" i="6"/>
  <c r="I73" i="6" s="1"/>
  <c r="D9" i="13"/>
  <c r="G16" i="7" s="1"/>
  <c r="N16" i="7" s="1"/>
  <c r="O60" i="5" l="1"/>
  <c r="G59" i="5"/>
  <c r="Q51" i="7"/>
  <c r="Q52" i="7" s="1"/>
  <c r="O46" i="7"/>
  <c r="N45" i="7"/>
  <c r="N46" i="7" s="1"/>
  <c r="P45" i="7"/>
  <c r="P46" i="7" s="1"/>
  <c r="C107" i="2"/>
  <c r="Q45" i="7" l="1"/>
  <c r="Q46" i="7" s="1"/>
  <c r="O12" i="5"/>
  <c r="O11" i="5"/>
  <c r="O10" i="5"/>
  <c r="O61" i="5"/>
  <c r="O59" i="5"/>
  <c r="O68" i="7"/>
  <c r="N66" i="7"/>
  <c r="Q66" i="7" s="1"/>
  <c r="O68" i="5" l="1"/>
  <c r="P17" i="9"/>
  <c r="O17" i="9"/>
  <c r="BA40" i="8" l="1"/>
  <c r="BA33" i="8"/>
  <c r="BA34" i="8"/>
  <c r="BA31" i="8"/>
  <c r="BA32" i="8"/>
  <c r="BA30" i="8"/>
  <c r="BA29" i="8"/>
  <c r="BA35" i="8" l="1"/>
  <c r="BA28" i="8"/>
  <c r="BA27" i="8" l="1"/>
  <c r="BA41" i="8" l="1"/>
  <c r="P68" i="7" l="1"/>
  <c r="N65" i="7"/>
  <c r="Q65" i="7" l="1"/>
  <c r="N61" i="7" l="1"/>
  <c r="Q61" i="7" s="1"/>
  <c r="N62" i="7" l="1"/>
  <c r="Q62" i="7" s="1"/>
  <c r="N63" i="7" l="1"/>
  <c r="Q63" i="7" s="1"/>
  <c r="N64" i="7"/>
  <c r="Q64" i="7" s="1"/>
  <c r="AT11" i="8" l="1"/>
  <c r="AS11" i="8"/>
  <c r="AR11" i="8"/>
  <c r="AQ11" i="8"/>
  <c r="AP11" i="8"/>
  <c r="AO11" i="8"/>
  <c r="AN11" i="8"/>
  <c r="AM11" i="8"/>
  <c r="AL11" i="8"/>
  <c r="AK11" i="8"/>
  <c r="AJ11" i="8"/>
  <c r="AI11" i="8"/>
  <c r="AH11" i="8"/>
  <c r="AG11" i="8"/>
  <c r="AF11" i="8"/>
  <c r="AX11" i="8"/>
  <c r="AW11" i="8"/>
  <c r="AV11" i="8"/>
  <c r="AU11" i="8"/>
  <c r="O47" i="6" l="1"/>
  <c r="O46" i="6"/>
  <c r="O12" i="6" l="1"/>
  <c r="O14" i="6"/>
  <c r="O13" i="6"/>
  <c r="R16" i="5" l="1"/>
  <c r="L144" i="5" s="1"/>
  <c r="O10" i="6" l="1"/>
  <c r="O16" i="5"/>
  <c r="D142" i="10"/>
  <c r="N133" i="10"/>
  <c r="M133" i="10"/>
  <c r="L133" i="10"/>
  <c r="K133" i="10"/>
  <c r="J133" i="10"/>
  <c r="H133" i="10"/>
  <c r="N135" i="10" l="1"/>
  <c r="N136" i="10" s="1"/>
  <c r="M135" i="10"/>
  <c r="M136" i="10" s="1"/>
  <c r="L135" i="10"/>
  <c r="L136" i="10" s="1"/>
  <c r="K135" i="10"/>
  <c r="J135" i="10"/>
  <c r="I135" i="10"/>
  <c r="H135" i="10"/>
  <c r="H136" i="10" s="1"/>
  <c r="K136" i="10" l="1"/>
  <c r="J136" i="10"/>
  <c r="J78" i="9" l="1"/>
  <c r="H75" i="9"/>
  <c r="H74" i="9"/>
  <c r="P51" i="9" l="1"/>
  <c r="Q51" i="9" s="1"/>
  <c r="P50" i="9"/>
  <c r="Q50" i="9" s="1"/>
  <c r="P48" i="9"/>
  <c r="Q48" i="9" s="1"/>
  <c r="P47" i="9"/>
  <c r="Q47" i="9" s="1"/>
  <c r="P43" i="9"/>
  <c r="Q43" i="9" s="1"/>
  <c r="P41" i="9"/>
  <c r="Q41" i="9" s="1"/>
  <c r="P39" i="9"/>
  <c r="Q39" i="9" l="1"/>
  <c r="P28" i="9" l="1"/>
  <c r="N28" i="9"/>
  <c r="J104" i="8"/>
  <c r="H101" i="8"/>
  <c r="H100" i="8"/>
  <c r="Q11" i="7" l="1"/>
  <c r="N11" i="7"/>
  <c r="O11" i="7"/>
  <c r="J83" i="7" s="1"/>
  <c r="P11" i="7"/>
  <c r="K83" i="7" s="1"/>
  <c r="H159" i="6" l="1"/>
  <c r="J156" i="6"/>
  <c r="Q141" i="6"/>
  <c r="P141" i="6"/>
  <c r="O141" i="6"/>
  <c r="N141" i="6"/>
  <c r="Q135" i="6"/>
  <c r="P135" i="6"/>
  <c r="O135" i="6"/>
  <c r="N135" i="6"/>
  <c r="Q116" i="6"/>
  <c r="P116" i="6"/>
  <c r="O116" i="6"/>
  <c r="N116" i="6"/>
  <c r="Q110" i="6"/>
  <c r="P110" i="6"/>
  <c r="O110" i="6"/>
  <c r="N110" i="6"/>
  <c r="Q104" i="6"/>
  <c r="P104" i="6"/>
  <c r="O104" i="6"/>
  <c r="N104" i="6"/>
  <c r="Q95" i="6"/>
  <c r="P95" i="6"/>
  <c r="O95" i="6"/>
  <c r="N95" i="6"/>
  <c r="Q89" i="6"/>
  <c r="P89" i="6"/>
  <c r="O89" i="6"/>
  <c r="N89" i="6"/>
  <c r="Q83" i="6"/>
  <c r="P83" i="6"/>
  <c r="O83" i="6"/>
  <c r="N83" i="6"/>
  <c r="Q67" i="6"/>
  <c r="P67" i="6"/>
  <c r="O67" i="6"/>
  <c r="N67" i="6"/>
  <c r="O61" i="6"/>
  <c r="Q40" i="6" l="1"/>
  <c r="J15" i="10" s="1"/>
  <c r="J44" i="10" s="1"/>
  <c r="P40" i="6"/>
  <c r="K152" i="6" s="1"/>
  <c r="O40" i="6"/>
  <c r="J152" i="6" s="1"/>
  <c r="N40" i="6"/>
  <c r="I152" i="6" s="1"/>
  <c r="H152" i="6" l="1"/>
  <c r="O11" i="6"/>
  <c r="O33" i="6" s="1"/>
  <c r="J151" i="6" s="1"/>
  <c r="O45" i="6" l="1"/>
  <c r="O52" i="6" s="1"/>
  <c r="L11" i="10" l="1"/>
  <c r="L12" i="10"/>
  <c r="L13" i="10"/>
  <c r="L14" i="10"/>
  <c r="L17" i="10"/>
  <c r="L18" i="10"/>
  <c r="L20" i="10"/>
  <c r="L25" i="10"/>
  <c r="L28" i="10"/>
  <c r="N16" i="9" l="1"/>
  <c r="Q16" i="9" s="1"/>
  <c r="P49" i="9"/>
  <c r="Q49" i="9" s="1"/>
  <c r="P42" i="9"/>
  <c r="Q42" i="9" s="1"/>
  <c r="P55" i="9"/>
  <c r="Q55" i="9" s="1"/>
  <c r="P54" i="9"/>
  <c r="Q54" i="9" s="1"/>
  <c r="P44" i="9"/>
  <c r="Q44" i="9" s="1"/>
  <c r="P52" i="9"/>
  <c r="Q52" i="9" s="1"/>
  <c r="P46" i="9"/>
  <c r="Q46" i="9" s="1"/>
  <c r="P45" i="9"/>
  <c r="Q45" i="9" s="1"/>
  <c r="P37" i="9"/>
  <c r="P38" i="9"/>
  <c r="Q38" i="9" s="1"/>
  <c r="Q37" i="9" l="1"/>
  <c r="P40" i="9"/>
  <c r="Q40" i="9" s="1"/>
  <c r="P53" i="9"/>
  <c r="Q53" i="9" s="1"/>
  <c r="N12" i="9"/>
  <c r="Q12" i="9" s="1"/>
  <c r="N10" i="9"/>
  <c r="N14" i="9"/>
  <c r="Q14" i="9" s="1"/>
  <c r="N11" i="9"/>
  <c r="Q11" i="9" s="1"/>
  <c r="Q63" i="9" l="1"/>
  <c r="I31" i="10" s="1"/>
  <c r="P63" i="9"/>
  <c r="K73" i="9" s="1"/>
  <c r="Q10" i="9"/>
  <c r="N15" i="9"/>
  <c r="Q15" i="9" s="1"/>
  <c r="N13" i="9"/>
  <c r="Q13" i="9" s="1"/>
  <c r="K23" i="10" l="1"/>
  <c r="I23" i="10"/>
  <c r="J88" i="7"/>
  <c r="H84" i="7"/>
  <c r="N17" i="9" l="1"/>
  <c r="I73" i="9" s="1"/>
  <c r="Q17" i="9"/>
  <c r="I29" i="10" s="1"/>
  <c r="I47" i="10" s="1"/>
  <c r="N60" i="7"/>
  <c r="N68" i="7" l="1"/>
  <c r="I83" i="7" s="1"/>
  <c r="Q60" i="7"/>
  <c r="Q68" i="7" s="1"/>
  <c r="R130" i="5"/>
  <c r="K10" i="10"/>
  <c r="R124" i="5"/>
  <c r="J10" i="10"/>
  <c r="R105" i="5"/>
  <c r="Q105" i="5"/>
  <c r="P105" i="5"/>
  <c r="O105" i="5"/>
  <c r="N105" i="5"/>
  <c r="R99" i="5"/>
  <c r="Q99" i="5"/>
  <c r="P99" i="5"/>
  <c r="O99" i="5"/>
  <c r="N99" i="5"/>
  <c r="R93" i="5"/>
  <c r="Q93" i="5"/>
  <c r="P93" i="5"/>
  <c r="O93" i="5"/>
  <c r="J139" i="5" s="1"/>
  <c r="N93" i="5"/>
  <c r="R75" i="5"/>
  <c r="R82" i="5"/>
  <c r="R52" i="5"/>
  <c r="P52" i="5"/>
  <c r="N52" i="5"/>
  <c r="P46" i="5"/>
  <c r="N46" i="5"/>
  <c r="I140" i="5" l="1"/>
  <c r="K140" i="5"/>
  <c r="I141" i="5"/>
  <c r="I24" i="10"/>
  <c r="L145" i="5"/>
  <c r="H140" i="10" s="1"/>
  <c r="O21" i="5"/>
  <c r="G134" i="10"/>
  <c r="K141" i="5"/>
  <c r="E134" i="10"/>
  <c r="H139" i="10"/>
  <c r="L9" i="10"/>
  <c r="Q16" i="7"/>
  <c r="Q17" i="7" s="1"/>
  <c r="K21" i="10" s="1"/>
  <c r="K45" i="10" s="1"/>
  <c r="N17" i="7"/>
  <c r="I85" i="7" l="1"/>
  <c r="H85" i="7" s="1"/>
  <c r="F139" i="10"/>
  <c r="O27" i="5"/>
  <c r="Q27" i="5" s="1"/>
  <c r="Q21" i="5"/>
  <c r="O22" i="5"/>
  <c r="J144" i="5"/>
  <c r="O45" i="5"/>
  <c r="Q22" i="5" l="1"/>
  <c r="Q45" i="5"/>
  <c r="O73" i="5"/>
  <c r="O75" i="5" s="1"/>
  <c r="Q73" i="5" l="1"/>
  <c r="Q75" i="5" s="1"/>
  <c r="J8" i="10" l="1"/>
  <c r="G60" i="4" l="1"/>
  <c r="E60" i="4"/>
  <c r="G59" i="4"/>
  <c r="E59" i="4"/>
  <c r="G58" i="4"/>
  <c r="E58" i="4"/>
  <c r="G57" i="4"/>
  <c r="L27" i="6" s="1"/>
  <c r="P27" i="6" s="1"/>
  <c r="E57" i="4"/>
  <c r="J27" i="6" s="1"/>
  <c r="N27" i="6" s="1"/>
  <c r="G56" i="4"/>
  <c r="L28" i="6" s="1"/>
  <c r="P28" i="6" s="1"/>
  <c r="E56" i="4"/>
  <c r="J28" i="6" s="1"/>
  <c r="N28" i="6" s="1"/>
  <c r="G55" i="4"/>
  <c r="E55" i="4"/>
  <c r="G54" i="4"/>
  <c r="E54" i="4"/>
  <c r="G53" i="4"/>
  <c r="L12" i="5" s="1"/>
  <c r="P12" i="5" s="1"/>
  <c r="E53" i="4"/>
  <c r="J12" i="5" s="1"/>
  <c r="N12" i="5" s="1"/>
  <c r="G52" i="4"/>
  <c r="E52" i="4"/>
  <c r="G51" i="4"/>
  <c r="E51" i="4"/>
  <c r="G50" i="4"/>
  <c r="E50" i="4"/>
  <c r="G49" i="4"/>
  <c r="L38" i="5" s="1"/>
  <c r="P38" i="5" s="1"/>
  <c r="E49" i="4"/>
  <c r="J38" i="5" s="1"/>
  <c r="N38" i="5" s="1"/>
  <c r="G48" i="4"/>
  <c r="L37" i="5" s="1"/>
  <c r="P37" i="5" s="1"/>
  <c r="E48" i="4"/>
  <c r="J37" i="5" s="1"/>
  <c r="N37" i="5" s="1"/>
  <c r="G47" i="4"/>
  <c r="E47" i="4"/>
  <c r="G46" i="4"/>
  <c r="L36" i="5" s="1"/>
  <c r="P36" i="5" s="1"/>
  <c r="E46" i="4"/>
  <c r="J36" i="5" s="1"/>
  <c r="N36" i="5" s="1"/>
  <c r="G45" i="4"/>
  <c r="L35" i="5" s="1"/>
  <c r="P35" i="5" s="1"/>
  <c r="E45" i="4"/>
  <c r="J35" i="5" s="1"/>
  <c r="N35" i="5" s="1"/>
  <c r="G44" i="4"/>
  <c r="L65" i="5" s="1"/>
  <c r="P65" i="5" s="1"/>
  <c r="E44" i="4"/>
  <c r="J65" i="5" s="1"/>
  <c r="N65" i="5" s="1"/>
  <c r="G43" i="4"/>
  <c r="L64" i="5" s="1"/>
  <c r="P64" i="5" s="1"/>
  <c r="E43" i="4"/>
  <c r="J64" i="5" s="1"/>
  <c r="N64" i="5" s="1"/>
  <c r="Q64" i="5" s="1"/>
  <c r="G42" i="4"/>
  <c r="L59" i="5" s="1"/>
  <c r="E42" i="4"/>
  <c r="J59" i="5" s="1"/>
  <c r="G41" i="4"/>
  <c r="E41" i="4"/>
  <c r="G40" i="4"/>
  <c r="L62" i="5" s="1"/>
  <c r="P62" i="5" s="1"/>
  <c r="E40" i="4"/>
  <c r="J62" i="5" s="1"/>
  <c r="N62" i="5" s="1"/>
  <c r="G39" i="4"/>
  <c r="E39" i="4"/>
  <c r="G38" i="4"/>
  <c r="E38" i="4"/>
  <c r="E10" i="4"/>
  <c r="Q28" i="6" l="1"/>
  <c r="Q27" i="6"/>
  <c r="N59" i="5"/>
  <c r="J60" i="5"/>
  <c r="N60" i="5" s="1"/>
  <c r="P59" i="5"/>
  <c r="L60" i="5"/>
  <c r="P60" i="5" s="1"/>
  <c r="J10" i="5"/>
  <c r="J113" i="5"/>
  <c r="N113" i="5" s="1"/>
  <c r="J13" i="5"/>
  <c r="N13" i="5" s="1"/>
  <c r="J115" i="5"/>
  <c r="N115" i="5" s="1"/>
  <c r="L10" i="5"/>
  <c r="P10" i="5" s="1"/>
  <c r="L113" i="5"/>
  <c r="P113" i="5" s="1"/>
  <c r="L13" i="5"/>
  <c r="P13" i="5" s="1"/>
  <c r="L115" i="5"/>
  <c r="P115" i="5" s="1"/>
  <c r="J11" i="5"/>
  <c r="N11" i="5" s="1"/>
  <c r="J114" i="5"/>
  <c r="N114" i="5" s="1"/>
  <c r="L11" i="5"/>
  <c r="P11" i="5" s="1"/>
  <c r="L114" i="5"/>
  <c r="P114" i="5" s="1"/>
  <c r="L126" i="6"/>
  <c r="P126" i="6" s="1"/>
  <c r="L22" i="6"/>
  <c r="P22" i="6" s="1"/>
  <c r="L24" i="6"/>
  <c r="P24" i="6" s="1"/>
  <c r="J61" i="5"/>
  <c r="N61" i="5" s="1"/>
  <c r="J63" i="5"/>
  <c r="N63" i="5" s="1"/>
  <c r="J127" i="6"/>
  <c r="N127" i="6" s="1"/>
  <c r="Q127" i="6" s="1"/>
  <c r="J25" i="6"/>
  <c r="N25" i="6" s="1"/>
  <c r="J23" i="6"/>
  <c r="N23" i="6" s="1"/>
  <c r="L61" i="5"/>
  <c r="P61" i="5" s="1"/>
  <c r="L63" i="5"/>
  <c r="P63" i="5" s="1"/>
  <c r="L127" i="6"/>
  <c r="P127" i="6" s="1"/>
  <c r="L25" i="6"/>
  <c r="P25" i="6" s="1"/>
  <c r="L23" i="6"/>
  <c r="P23" i="6" s="1"/>
  <c r="J50" i="6"/>
  <c r="N50" i="6" s="1"/>
  <c r="J128" i="6"/>
  <c r="N128" i="6" s="1"/>
  <c r="J26" i="6"/>
  <c r="N26" i="6" s="1"/>
  <c r="L128" i="6"/>
  <c r="P128" i="6" s="1"/>
  <c r="L26" i="6"/>
  <c r="P26" i="6" s="1"/>
  <c r="Q62" i="5"/>
  <c r="Q65" i="5"/>
  <c r="J126" i="6"/>
  <c r="N126" i="6" s="1"/>
  <c r="Q126" i="6" s="1"/>
  <c r="J24" i="6"/>
  <c r="N24" i="6" s="1"/>
  <c r="Q24" i="6" s="1"/>
  <c r="J22" i="6"/>
  <c r="N22" i="6" s="1"/>
  <c r="Q38" i="5"/>
  <c r="Q37" i="5"/>
  <c r="Q36" i="5"/>
  <c r="Q35" i="5"/>
  <c r="N40" i="5"/>
  <c r="J16" i="6"/>
  <c r="N16" i="6" s="1"/>
  <c r="J19" i="6"/>
  <c r="N19" i="6" s="1"/>
  <c r="J125" i="6"/>
  <c r="N125" i="6" s="1"/>
  <c r="J21" i="6"/>
  <c r="N21" i="6" s="1"/>
  <c r="J49" i="6"/>
  <c r="N49" i="6" s="1"/>
  <c r="L16" i="6"/>
  <c r="P16" i="6" s="1"/>
  <c r="L125" i="6"/>
  <c r="P125" i="6" s="1"/>
  <c r="L21" i="6"/>
  <c r="P21" i="6" s="1"/>
  <c r="L19" i="6"/>
  <c r="P19" i="6" s="1"/>
  <c r="L49" i="6"/>
  <c r="P49" i="6" s="1"/>
  <c r="L17" i="6"/>
  <c r="P17" i="6" s="1"/>
  <c r="L50" i="6"/>
  <c r="P50" i="6" s="1"/>
  <c r="P40" i="5"/>
  <c r="J18" i="6"/>
  <c r="N18" i="6" s="1"/>
  <c r="J20" i="6"/>
  <c r="N20" i="6" s="1"/>
  <c r="J124" i="6"/>
  <c r="N124" i="6" s="1"/>
  <c r="J48" i="6"/>
  <c r="N48" i="6" s="1"/>
  <c r="L18" i="6"/>
  <c r="P18" i="6" s="1"/>
  <c r="L124" i="6"/>
  <c r="P124" i="6" s="1"/>
  <c r="L20" i="6"/>
  <c r="P20" i="6" s="1"/>
  <c r="L48" i="6"/>
  <c r="P48" i="6" s="1"/>
  <c r="N10" i="5"/>
  <c r="Q12" i="5"/>
  <c r="L10" i="6"/>
  <c r="P10" i="6" s="1"/>
  <c r="L15" i="6"/>
  <c r="P15" i="6" s="1"/>
  <c r="J17" i="6"/>
  <c r="N17" i="6" s="1"/>
  <c r="J10" i="6"/>
  <c r="N10" i="6" s="1"/>
  <c r="J15" i="6"/>
  <c r="N15" i="6" s="1"/>
  <c r="L11" i="6"/>
  <c r="P11" i="6" s="1"/>
  <c r="L45" i="6"/>
  <c r="L46" i="6" s="1"/>
  <c r="L47" i="6" s="1"/>
  <c r="P47" i="6" s="1"/>
  <c r="L12" i="6"/>
  <c r="L13" i="6" s="1"/>
  <c r="L14" i="6" s="1"/>
  <c r="P14" i="6" s="1"/>
  <c r="L59" i="6"/>
  <c r="J11" i="6"/>
  <c r="N11" i="6" s="1"/>
  <c r="J12" i="6"/>
  <c r="J13" i="6" s="1"/>
  <c r="J14" i="6" s="1"/>
  <c r="N14" i="6" s="1"/>
  <c r="J45" i="6"/>
  <c r="J46" i="6" s="1"/>
  <c r="J47" i="6" s="1"/>
  <c r="N47" i="6" s="1"/>
  <c r="J59" i="6"/>
  <c r="Q59" i="5"/>
  <c r="O80" i="5"/>
  <c r="O82" i="5" s="1"/>
  <c r="Q22" i="6" l="1"/>
  <c r="Q60" i="5"/>
  <c r="Q13" i="5"/>
  <c r="P16" i="5"/>
  <c r="Q11" i="5"/>
  <c r="Q10" i="5"/>
  <c r="P118" i="5"/>
  <c r="Q115" i="5"/>
  <c r="Q25" i="6"/>
  <c r="Q114" i="5"/>
  <c r="Q113" i="5"/>
  <c r="N118" i="5"/>
  <c r="Q63" i="5"/>
  <c r="P68" i="5"/>
  <c r="Q61" i="5"/>
  <c r="N68" i="5"/>
  <c r="Q26" i="6"/>
  <c r="Q23" i="6"/>
  <c r="N129" i="6"/>
  <c r="Q128" i="6"/>
  <c r="Q50" i="6"/>
  <c r="Q49" i="6"/>
  <c r="P129" i="6"/>
  <c r="Q19" i="6"/>
  <c r="P46" i="6"/>
  <c r="Q21" i="6"/>
  <c r="Q40" i="5"/>
  <c r="I7" i="10" s="1"/>
  <c r="N16" i="5"/>
  <c r="Q48" i="6"/>
  <c r="Q124" i="6"/>
  <c r="Q20" i="6"/>
  <c r="Q18" i="6"/>
  <c r="Q125" i="6"/>
  <c r="Q15" i="6"/>
  <c r="P13" i="6"/>
  <c r="P12" i="6"/>
  <c r="N46" i="6"/>
  <c r="N12" i="6"/>
  <c r="N33" i="6" s="1"/>
  <c r="J60" i="6"/>
  <c r="N59" i="6"/>
  <c r="L60" i="6"/>
  <c r="P59" i="6"/>
  <c r="N13" i="6"/>
  <c r="Q28" i="7"/>
  <c r="Q31" i="7" s="1"/>
  <c r="Q16" i="6"/>
  <c r="Q17" i="6"/>
  <c r="Q16" i="5"/>
  <c r="Q10" i="6"/>
  <c r="Q47" i="6"/>
  <c r="Q14" i="6"/>
  <c r="O51" i="5"/>
  <c r="Q51" i="5" s="1"/>
  <c r="Q11" i="6"/>
  <c r="N45" i="6"/>
  <c r="N52" i="6" s="1"/>
  <c r="Q80" i="5"/>
  <c r="Q82" i="5" s="1"/>
  <c r="O46" i="5"/>
  <c r="J140" i="5" s="1"/>
  <c r="L47" i="10"/>
  <c r="P33" i="6" l="1"/>
  <c r="K139" i="5"/>
  <c r="I139" i="5"/>
  <c r="Q118" i="5"/>
  <c r="I10" i="10" s="1"/>
  <c r="Q68" i="5"/>
  <c r="I8" i="10" s="1"/>
  <c r="Q46" i="6"/>
  <c r="Q129" i="6"/>
  <c r="I19" i="10" s="1"/>
  <c r="Q12" i="6"/>
  <c r="Q13" i="6"/>
  <c r="L72" i="6"/>
  <c r="P60" i="6"/>
  <c r="P61" i="6" s="1"/>
  <c r="Q59" i="6"/>
  <c r="J72" i="6"/>
  <c r="N60" i="6"/>
  <c r="N61" i="6" s="1"/>
  <c r="I151" i="6" s="1"/>
  <c r="I22" i="10"/>
  <c r="H83" i="7"/>
  <c r="H92" i="7" s="1"/>
  <c r="O28" i="5"/>
  <c r="Q28" i="5"/>
  <c r="K6" i="10" s="1"/>
  <c r="P45" i="6"/>
  <c r="P52" i="6" s="1"/>
  <c r="K8" i="10"/>
  <c r="BA11" i="8"/>
  <c r="I26" i="10" s="1"/>
  <c r="L26" i="10" s="1"/>
  <c r="J6" i="10"/>
  <c r="I6" i="10"/>
  <c r="I15" i="10" l="1"/>
  <c r="K151" i="6"/>
  <c r="I45" i="10"/>
  <c r="L45" i="10" s="1"/>
  <c r="H139" i="5"/>
  <c r="I43" i="10"/>
  <c r="E133" i="10"/>
  <c r="J73" i="6"/>
  <c r="L73" i="6"/>
  <c r="G133" i="10"/>
  <c r="Q60" i="6"/>
  <c r="Q61" i="6" s="1"/>
  <c r="I16" i="10" s="1"/>
  <c r="Q45" i="6"/>
  <c r="Q52" i="5"/>
  <c r="K7" i="10" s="1"/>
  <c r="O52" i="5"/>
  <c r="Q46" i="5"/>
  <c r="J7" i="10" s="1"/>
  <c r="J43" i="10" s="1"/>
  <c r="H140" i="5"/>
  <c r="F134" i="10"/>
  <c r="P9" i="9"/>
  <c r="O9" i="9"/>
  <c r="N9" i="9"/>
  <c r="AH9" i="8"/>
  <c r="AG9" i="8"/>
  <c r="AF9" i="8"/>
  <c r="P9" i="6"/>
  <c r="O9" i="6"/>
  <c r="N9" i="6"/>
  <c r="P9" i="7"/>
  <c r="O9" i="7"/>
  <c r="N9" i="7"/>
  <c r="K9" i="5"/>
  <c r="O9" i="5" s="1"/>
  <c r="L9" i="5"/>
  <c r="P9" i="5" s="1"/>
  <c r="J9" i="5"/>
  <c r="N9" i="5" s="1"/>
  <c r="Q52" i="6" l="1"/>
  <c r="K15" i="10" s="1"/>
  <c r="J141" i="5"/>
  <c r="H141" i="5" s="1"/>
  <c r="H148" i="5" s="1"/>
  <c r="H151" i="6"/>
  <c r="I44" i="10"/>
  <c r="K43" i="10"/>
  <c r="L43" i="10" s="1"/>
  <c r="BA9" i="8"/>
  <c r="J33" i="10"/>
  <c r="D134" i="10"/>
  <c r="Q9" i="6"/>
  <c r="Q9" i="7"/>
  <c r="Q9" i="5"/>
  <c r="Q9" i="9"/>
  <c r="J73" i="9" l="1"/>
  <c r="F133" i="10" s="1"/>
  <c r="H73" i="9" l="1"/>
  <c r="H82" i="9" s="1"/>
  <c r="F42" i="14"/>
  <c r="G26" i="8" s="1"/>
  <c r="AN26" i="8" s="1"/>
  <c r="BA26" i="8" l="1"/>
  <c r="BA88" i="8" l="1"/>
  <c r="I27" i="10" s="1"/>
  <c r="I40" i="10" s="1"/>
  <c r="I133" i="10"/>
  <c r="H99" i="8"/>
  <c r="H108" i="8" s="1"/>
  <c r="I46" i="10" l="1"/>
  <c r="L46" i="10" s="1"/>
  <c r="I33" i="10"/>
  <c r="I136" i="10"/>
  <c r="D133" i="10"/>
  <c r="F207" i="12"/>
  <c r="G206" i="12" s="1"/>
  <c r="G73" i="6" s="1"/>
  <c r="P73" i="6" l="1"/>
  <c r="O73" i="6"/>
  <c r="N73" i="6"/>
  <c r="G205" i="12"/>
  <c r="Q73" i="6" l="1"/>
  <c r="G207" i="12"/>
  <c r="G72" i="6"/>
  <c r="O72" i="6" l="1"/>
  <c r="O74" i="6" s="1"/>
  <c r="J153" i="6" s="1"/>
  <c r="F135" i="10" s="1"/>
  <c r="F136" i="10" s="1"/>
  <c r="N72" i="6"/>
  <c r="P72" i="6"/>
  <c r="P74" i="6" s="1"/>
  <c r="K153" i="6" s="1"/>
  <c r="G135" i="10" s="1"/>
  <c r="G136" i="10" s="1"/>
  <c r="Q72" i="6" l="1"/>
  <c r="Q74" i="6" s="1"/>
  <c r="N74" i="6"/>
  <c r="I153" i="6" s="1"/>
  <c r="H153" i="6" l="1"/>
  <c r="H160" i="6" s="1"/>
  <c r="E135" i="10"/>
  <c r="K16" i="10"/>
  <c r="I39" i="10"/>
  <c r="K33" i="10" l="1"/>
  <c r="I34" i="10" s="1"/>
  <c r="K44" i="10"/>
  <c r="D135" i="10"/>
  <c r="E136" i="10"/>
  <c r="L6" i="10" l="1"/>
  <c r="L10" i="10"/>
  <c r="L7" i="10"/>
  <c r="L30" i="10"/>
  <c r="L19" i="10"/>
  <c r="L8" i="10"/>
  <c r="M43" i="10"/>
  <c r="M45" i="10"/>
  <c r="L27" i="10"/>
  <c r="I36" i="10"/>
  <c r="I38" i="10" s="1"/>
  <c r="M47" i="10"/>
  <c r="L29" i="10"/>
  <c r="L23" i="10"/>
  <c r="L21" i="10"/>
  <c r="L24" i="10"/>
  <c r="L15" i="10"/>
  <c r="L22" i="10"/>
  <c r="L31" i="10"/>
  <c r="M46" i="10"/>
  <c r="L16" i="10"/>
  <c r="L44" i="10"/>
  <c r="M44" i="10" s="1"/>
  <c r="D143" i="10"/>
  <c r="D136" i="10"/>
  <c r="L33" i="10"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Jessie</author>
  </authors>
  <commentList>
    <comment ref="I5" authorId="0" shapeId="0" xr:uid="{00000000-0006-0000-0200-000001000000}">
      <text>
        <r>
          <rPr>
            <sz val="9"/>
            <color indexed="81"/>
            <rFont val="Tahoma"/>
            <family val="2"/>
          </rPr>
          <t xml:space="preserve">Es link es al documento de respaldo dónde se ubica la información suministrada por la fuente
</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Juliana</author>
  </authors>
  <commentList>
    <comment ref="B7" authorId="0" shapeId="0" xr:uid="{A8EAE3C9-AB3C-4FAD-8273-86C26A8CEB4B}">
      <text>
        <r>
          <rPr>
            <b/>
            <sz val="9"/>
            <color indexed="81"/>
            <rFont val="Tahoma"/>
            <family val="2"/>
          </rPr>
          <t>Juliana:</t>
        </r>
        <r>
          <rPr>
            <sz val="9"/>
            <color indexed="81"/>
            <rFont val="Tahoma"/>
            <family val="2"/>
          </rPr>
          <t xml:space="preserve">
https://www.dropbox.com/s/rxjafjs544u61hw/Sistematizaci%C3%B3n%20de%20resultados_Agropecuario_Bel%C3%A9n.xlsx?dl=0</t>
        </r>
      </text>
    </comment>
    <comment ref="B33" authorId="0" shapeId="0" xr:uid="{BE06C587-7975-4D9C-BDA7-A569F54685D1}">
      <text>
        <r>
          <rPr>
            <b/>
            <sz val="9"/>
            <color indexed="81"/>
            <rFont val="Tahoma"/>
            <family val="2"/>
          </rPr>
          <t>Juliana:</t>
        </r>
        <r>
          <rPr>
            <sz val="9"/>
            <color indexed="81"/>
            <rFont val="Tahoma"/>
            <family val="2"/>
          </rPr>
          <t xml:space="preserve">
Se calcula FE a partir de costos de producción reportados por el MAG y disposiciones del IPCC debido a que no se tiene información sobre la aplicación de fertilizantes para estos cultivos (información de encuestas)  y no se tiene FE reportado por el  IMN.
Los modelos de costo de producción pueden encontrarse en: http://www.infoagro.go.cr/EstadisticasAgropecuarias/CostosProduccion/Paginas/default.aspx
La colección de modelos utilizados para los cálculos de este inventario puede encontrarlos en: https://www.dropbox.com/sh/2x7md0ok5ow1csn/AAAoh3QJYXZOkXHRHw1DwOrBa?dl=0</t>
        </r>
      </text>
    </comment>
    <comment ref="B36" authorId="0" shapeId="0" xr:uid="{76F7CBDB-475D-408A-908A-E943285E2704}">
      <text>
        <r>
          <rPr>
            <b/>
            <sz val="9"/>
            <color indexed="81"/>
            <rFont val="Tahoma"/>
            <family val="2"/>
          </rPr>
          <t>Juliana:</t>
        </r>
        <r>
          <rPr>
            <sz val="9"/>
            <color indexed="81"/>
            <rFont val="Tahoma"/>
            <family val="2"/>
          </rPr>
          <t xml:space="preserve">
Información tomada de los modelos de costo de producción del MAG para Apio Central Oriental 2018.
Se utiliza central oriental 2018 ya que la información 2021 no incluye fórmulas de fertilizantes.
Ciclo reportado: Documento no indica, se toma 1 año. 
Unidad de costeo: 1ha
https://www.dropbox.com/sh/2x7md0ok5ow1csn/AAAoh3QJYXZOkXHRHw1DwOrBa?dl=0</t>
        </r>
      </text>
    </comment>
    <comment ref="G36" authorId="0" shapeId="0" xr:uid="{F97F4A78-79BE-4B3D-A541-9EEB59B33C87}">
      <text>
        <r>
          <rPr>
            <b/>
            <sz val="9"/>
            <color indexed="81"/>
            <rFont val="Tahoma"/>
            <family val="2"/>
          </rPr>
          <t>Juliana:</t>
        </r>
        <r>
          <rPr>
            <sz val="9"/>
            <color indexed="81"/>
            <rFont val="Tahoma"/>
            <family val="2"/>
          </rPr>
          <t xml:space="preserve">
Información tomada de los modelos de costo de producción del MAG para Ayote Huetar Caribe 2020.Se toma Huetar Caribe al no existir información para región Central.
Ciclo reportado: 1 año
Unidad de costeo: 1ha
https://www.dropbox.com/sh/2x7md0ok5ow1csn/AAAoh3QJYXZOkXHRHw1DwOrBa?dl=0</t>
        </r>
      </text>
    </comment>
    <comment ref="I39" authorId="0" shapeId="0" xr:uid="{8E734ADD-3467-44BC-9BAA-77A14B3C01FC}">
      <text>
        <r>
          <rPr>
            <b/>
            <sz val="9"/>
            <color indexed="81"/>
            <rFont val="Tahoma"/>
            <family val="2"/>
          </rPr>
          <t>Juliana:</t>
        </r>
        <r>
          <rPr>
            <sz val="9"/>
            <color indexed="81"/>
            <rFont val="Tahoma"/>
            <family val="2"/>
          </rPr>
          <t xml:space="preserve">
Tomando saco de 45 kg de acuerdo a: https://www.fertica.com/web/producto/f-q-12-24-12/#:~:text=12%2D24%2D12,-Nutrici%C3%B3n&amp;text=Es%20una%20fuente%20alta%20en,sistema%20radicular%20en%20las%20plantas.</t>
        </r>
      </text>
    </comment>
    <comment ref="I44" authorId="0" shapeId="0" xr:uid="{69D62BAC-6AD2-48AA-93E9-AA3B24AA4EA3}">
      <text>
        <r>
          <rPr>
            <b/>
            <sz val="9"/>
            <color indexed="81"/>
            <rFont val="Tahoma"/>
            <family val="2"/>
          </rPr>
          <t>Juliana:</t>
        </r>
        <r>
          <rPr>
            <sz val="9"/>
            <color indexed="81"/>
            <rFont val="Tahoma"/>
            <family val="2"/>
          </rPr>
          <t xml:space="preserve">
Tomando densidad de N2 líquido de 0.804 g/mL de: https://pubchem.ncbi.nlm.nih.gov/source/hsdb/5060#section=Critical-Temperature-%26-Pressure</t>
        </r>
      </text>
    </comment>
    <comment ref="D48" authorId="0" shapeId="0" xr:uid="{6C7E028A-CE10-4603-BA5B-36BE0BA44898}">
      <text>
        <r>
          <rPr>
            <b/>
            <sz val="9"/>
            <color indexed="81"/>
            <rFont val="Tahoma"/>
            <family val="2"/>
          </rPr>
          <t>Juliana:</t>
        </r>
        <r>
          <rPr>
            <sz val="9"/>
            <color indexed="81"/>
            <rFont val="Tahoma"/>
            <family val="2"/>
          </rPr>
          <t xml:space="preserve">
Tomando densidad de N2 líquido de 0.804 g/mL de: https://pubchem.ncbi.nlm.nih.gov/source/hsdb/5060#section=Critical-Temperature-%26-Pressure</t>
        </r>
      </text>
    </comment>
    <comment ref="H49" authorId="0" shapeId="0" xr:uid="{B3DF3FB3-1DC5-4B68-8DE0-F7165FE66C2F}">
      <text>
        <r>
          <rPr>
            <b/>
            <sz val="9"/>
            <color indexed="81"/>
            <rFont val="Tahoma"/>
            <family val="2"/>
          </rPr>
          <t>Juliana:</t>
        </r>
        <r>
          <rPr>
            <sz val="9"/>
            <color indexed="81"/>
            <rFont val="Tahoma"/>
            <family val="2"/>
          </rPr>
          <t xml:space="preserve">
De acuerdo con https://www.fertica.com/web/producto/sulfato-de-amonio/</t>
        </r>
      </text>
    </comment>
    <comment ref="I51" authorId="0" shapeId="0" xr:uid="{0C18CCF3-AE29-4025-A422-4BFE2D156D79}">
      <text>
        <r>
          <rPr>
            <b/>
            <sz val="9"/>
            <color indexed="81"/>
            <rFont val="Tahoma"/>
            <family val="2"/>
          </rPr>
          <t>Juliana:</t>
        </r>
        <r>
          <rPr>
            <sz val="9"/>
            <color indexed="81"/>
            <rFont val="Tahoma"/>
            <family val="2"/>
          </rPr>
          <t xml:space="preserve">
Tomando saco de 45 kg de acuerdo a: https://www.fertica.com/web/producto/sulfato-de-amonio/</t>
        </r>
      </text>
    </comment>
    <comment ref="D52" authorId="0" shapeId="0" xr:uid="{7800A9FC-44B7-4289-B231-AA30BA3C1713}">
      <text>
        <r>
          <rPr>
            <b/>
            <sz val="9"/>
            <color indexed="81"/>
            <rFont val="Tahoma"/>
            <family val="2"/>
          </rPr>
          <t>Juliana:</t>
        </r>
        <r>
          <rPr>
            <sz val="9"/>
            <color indexed="81"/>
            <rFont val="Tahoma"/>
            <family val="2"/>
          </rPr>
          <t xml:space="preserve">
Tomando densidad de N2 líquido de 0.804 g/mL de: https://pubchem.ncbi.nlm.nih.gov/source/hsdb/5060#section=Critical-Temperature-%26-Pressure</t>
        </r>
      </text>
    </comment>
    <comment ref="B64" authorId="0" shapeId="0" xr:uid="{816836A2-9C8D-4C4C-AA64-F63B224E0DA1}">
      <text>
        <r>
          <rPr>
            <b/>
            <sz val="9"/>
            <color indexed="81"/>
            <rFont val="Tahoma"/>
            <family val="2"/>
          </rPr>
          <t>Juliana:</t>
        </r>
        <r>
          <rPr>
            <sz val="9"/>
            <color indexed="81"/>
            <rFont val="Tahoma"/>
            <family val="2"/>
          </rPr>
          <t xml:space="preserve">
Información tomada de los modelos de costo de producción del MAG para Camote Huetar Caribe 2015.
Se considera la información 2015, Huetar Caribe ya que no se encuentra información región central.
Ciclo reportado: 1 año
Unidad de costeo: 1ha
https://www.dropbox.com/sh/2x7md0ok5ow1csn/AAAoh3QJYXZOkXHRHw1DwOrBa?dl=0</t>
        </r>
      </text>
    </comment>
    <comment ref="G68" authorId="0" shapeId="0" xr:uid="{F6133C8E-5CEB-4B1F-BA43-22CBEF3EEBE8}">
      <text>
        <r>
          <rPr>
            <b/>
            <sz val="9"/>
            <color indexed="81"/>
            <rFont val="Tahoma"/>
            <family val="2"/>
          </rPr>
          <t>Juliana:</t>
        </r>
        <r>
          <rPr>
            <sz val="9"/>
            <color indexed="81"/>
            <rFont val="Tahoma"/>
            <family val="2"/>
          </rPr>
          <t xml:space="preserve">
Información tomada de los modelos de costo de producción del MAG para chile Central Oriental 2022.
Ciclo reportado: 6 meses (2 ciclos en 1 año)
Unidad de costeo: 1ha
https://www.dropbox.com/sh/2x7md0ok5ow1csn/AAAoh3QJYXZOkXHRHw1DwOrBa?dl=0</t>
        </r>
      </text>
    </comment>
    <comment ref="B80" authorId="0" shapeId="0" xr:uid="{8BA5A1E8-13A7-4711-849C-C88C91D6C039}">
      <text>
        <r>
          <rPr>
            <b/>
            <sz val="9"/>
            <color indexed="81"/>
            <rFont val="Tahoma"/>
            <family val="2"/>
          </rPr>
          <t>Juliana:</t>
        </r>
        <r>
          <rPr>
            <sz val="9"/>
            <color indexed="81"/>
            <rFont val="Tahoma"/>
            <family val="2"/>
          </rPr>
          <t xml:space="preserve">
Información tomada de los modelos de costo de producción del MAG para Frijol, Región Brunca, 2021.
Se considera la información de la región Brunca 2021 ya que no se reporta información para la región central y brunca es la más cercana encontrada.
Ciclo reportado: 4 meses (3 ciclos en 1 año)
Unidad de costeo: 1ha
https://www.dropbox.com/sh/2x7md0ok5ow1csn/AAAoh3QJYXZOkXHRHw1DwOrBa?dl=0</t>
        </r>
      </text>
    </comment>
    <comment ref="G88" authorId="0" shapeId="0" xr:uid="{BA6AC15B-B8BA-451C-BBE3-1991012F835E}">
      <text>
        <r>
          <rPr>
            <b/>
            <sz val="9"/>
            <color indexed="81"/>
            <rFont val="Tahoma"/>
            <family val="2"/>
          </rPr>
          <t>Juliana:</t>
        </r>
        <r>
          <rPr>
            <sz val="9"/>
            <color indexed="81"/>
            <rFont val="Tahoma"/>
            <family val="2"/>
          </rPr>
          <t xml:space="preserve">
Información tomada de los modelos de costo de producción del MAG para Guanábana Brunca 2020.
Se considera la información Brunca ya que no se reporta la región central.
Ciclo reportado: 1 año
Unidad de costeo: 1ha
https://www.dropbox.com/sh/2x7md0ok5ow1csn/AAAoh3QJYXZOkXHRHw1DwOrBa?dl=0</t>
        </r>
      </text>
    </comment>
    <comment ref="H93" authorId="0" shapeId="0" xr:uid="{309C0404-40E2-4E14-801D-C96483D08F82}">
      <text>
        <r>
          <rPr>
            <b/>
            <sz val="9"/>
            <color indexed="81"/>
            <rFont val="Tahoma"/>
            <family val="2"/>
          </rPr>
          <t>Juliana:</t>
        </r>
        <r>
          <rPr>
            <sz val="9"/>
            <color indexed="81"/>
            <rFont val="Tahoma"/>
            <family val="2"/>
          </rPr>
          <t xml:space="preserve">
De acuerdo con: https://www.coopeagrienlinea.cr/products/12593/fertilizante-abopac-magnesamon-mq-45000g</t>
        </r>
      </text>
    </comment>
    <comment ref="B96" authorId="0" shapeId="0" xr:uid="{746B41CD-95D8-46A4-855A-E06FAA41E640}">
      <text>
        <r>
          <rPr>
            <b/>
            <sz val="9"/>
            <color indexed="81"/>
            <rFont val="Tahoma"/>
            <family val="2"/>
          </rPr>
          <t>Juliana:</t>
        </r>
        <r>
          <rPr>
            <sz val="9"/>
            <color indexed="81"/>
            <rFont val="Tahoma"/>
            <family val="2"/>
          </rPr>
          <t xml:space="preserve">
Información tomada de los modelos de costo de producción del MAG para lechuga Central Oriental 2018.
Se considera la información 2018 ya que la información 2021 no indica fórmulas del fertilizante. 
Ciclo reportado: 3 meses (4 ciclos en 1 año)
Unidad de costeo: 1ha
https://www.dropbox.com/sh/2x7md0ok5ow1csn/AAAoh3QJYXZOkXHRHw1DwOrBa?dl=0</t>
        </r>
      </text>
    </comment>
    <comment ref="D104" authorId="0" shapeId="0" xr:uid="{132E2F9D-B1B6-4D48-B0FF-4C9DDCC5DF80}">
      <text>
        <r>
          <rPr>
            <b/>
            <sz val="9"/>
            <color indexed="81"/>
            <rFont val="Tahoma"/>
            <family val="2"/>
          </rPr>
          <t>Juliana:</t>
        </r>
        <r>
          <rPr>
            <sz val="9"/>
            <color indexed="81"/>
            <rFont val="Tahoma"/>
            <family val="2"/>
          </rPr>
          <t xml:space="preserve">
Tomando densidad de N2 líquido de 0.804 g/mL de: https://pubchem.ncbi.nlm.nih.gov/source/hsdb/5060#section=Critical-Temperature-%26-Pressure</t>
        </r>
      </text>
    </comment>
    <comment ref="G104" authorId="0" shapeId="0" xr:uid="{CFE8AA58-CB1E-4DFA-BC97-FFF9B877D12A}">
      <text>
        <r>
          <rPr>
            <b/>
            <sz val="9"/>
            <color indexed="81"/>
            <rFont val="Tahoma"/>
            <family val="2"/>
          </rPr>
          <t>Juliana:</t>
        </r>
        <r>
          <rPr>
            <sz val="9"/>
            <color indexed="81"/>
            <rFont val="Tahoma"/>
            <family val="2"/>
          </rPr>
          <t xml:space="preserve">
Información tomada de los modelos de costo de producción del MAG para Maíz Huetar Caribe 2021.
Se considera la información Huetar Caribe 2021 ya que no se encuentra información para región Central.
Ciclo reportado: 3 meses (4 ciclos en 1 año)
Unidad de costeo: 1ha
https://www.dropbox.com/sh/2x7md0ok5ow1csn/AAAoh3QJYXZOkXHRHw1DwOrBa?dl=0</t>
        </r>
      </text>
    </comment>
    <comment ref="H105" authorId="0" shapeId="0" xr:uid="{083989E8-0BC0-4B80-AEF5-E527B9FDBE54}">
      <text>
        <r>
          <rPr>
            <b/>
            <sz val="9"/>
            <color indexed="81"/>
            <rFont val="Tahoma"/>
            <family val="2"/>
          </rPr>
          <t>Juliana:</t>
        </r>
        <r>
          <rPr>
            <sz val="9"/>
            <color indexed="81"/>
            <rFont val="Tahoma"/>
            <family val="2"/>
          </rPr>
          <t xml:space="preserve">
Modelo de costo de producción Huetar Caribe reporta 4 sacos</t>
        </r>
      </text>
    </comment>
    <comment ref="I107" authorId="0" shapeId="0" xr:uid="{6AF2E16E-97CD-4346-93FA-923CBE333A63}">
      <text>
        <r>
          <rPr>
            <b/>
            <sz val="9"/>
            <color indexed="81"/>
            <rFont val="Tahoma"/>
            <family val="2"/>
          </rPr>
          <t>Juliana:</t>
        </r>
        <r>
          <rPr>
            <sz val="9"/>
            <color indexed="81"/>
            <rFont val="Tahoma"/>
            <family val="2"/>
          </rPr>
          <t xml:space="preserve">
Tomando saco de 45 kg de acuerdo a: https://www.fertica.com/web/producto/f-q-12-24-12/#:~:text=12%2D24%2D12,-Nutrici%C3%B3n&amp;text=Es%20una%20fuente%20alta%20en,sistema%20radicular%20en%20las%20plantas.</t>
        </r>
      </text>
    </comment>
    <comment ref="D108" authorId="0" shapeId="0" xr:uid="{23A81F73-1BDF-4AB3-927C-DEB02B9E08F7}">
      <text>
        <r>
          <rPr>
            <b/>
            <sz val="9"/>
            <color indexed="81"/>
            <rFont val="Tahoma"/>
            <family val="2"/>
          </rPr>
          <t>Juliana:</t>
        </r>
        <r>
          <rPr>
            <sz val="9"/>
            <color indexed="81"/>
            <rFont val="Tahoma"/>
            <family val="2"/>
          </rPr>
          <t xml:space="preserve">
Tomando densidad de N2 líquido de 0.804 g/mL de: https://pubchem.ncbi.nlm.nih.gov/source/hsdb/5060#section=Critical-Temperature-%26-Pressure</t>
        </r>
      </text>
    </comment>
    <comment ref="B116" authorId="0" shapeId="0" xr:uid="{72AD1F55-6BD5-43BE-BE56-36B87A669160}">
      <text>
        <r>
          <rPr>
            <b/>
            <sz val="9"/>
            <color indexed="81"/>
            <rFont val="Tahoma"/>
            <family val="2"/>
          </rPr>
          <t>Juliana:</t>
        </r>
        <r>
          <rPr>
            <sz val="9"/>
            <color indexed="81"/>
            <rFont val="Tahoma"/>
            <family val="2"/>
          </rPr>
          <t xml:space="preserve">
Información tomada de los modelos de costo de producción del MAG para Tomate Central Occidental 2021.
Ciclo reportado: 6 meses (2 ciclos en 1 año)
Unidad de costeo: 1ha
https://www.dropbox.com/sh/2x7md0ok5ow1csn/AAAoh3QJYXZOkXHRHw1DwOrBa?dl=0</t>
        </r>
      </text>
    </comment>
    <comment ref="G116" authorId="0" shapeId="0" xr:uid="{69CA85BD-BD25-4F37-8812-3AFC17997993}">
      <text>
        <r>
          <rPr>
            <b/>
            <sz val="9"/>
            <color indexed="81"/>
            <rFont val="Tahoma"/>
            <family val="2"/>
          </rPr>
          <t>Juliana:</t>
        </r>
        <r>
          <rPr>
            <sz val="9"/>
            <color indexed="81"/>
            <rFont val="Tahoma"/>
            <family val="2"/>
          </rPr>
          <t xml:space="preserve">
Información tomada de los modelos de costo de producción del MAG para Piña Huetar Norte 2016.
Se considera la información Huetar Norte ya que no se encuentra información región central 
Ciclo reportado: 1 año
Unidad de costeo: 1ha
https://www.dropbox.com/sh/2x7md0ok5ow1csn/AAAoh3QJYXZOkXHRHw1DwOrBa?dl=0</t>
        </r>
      </text>
    </comment>
    <comment ref="C125" authorId="0" shapeId="0" xr:uid="{5EBFE8C4-C3B6-4D95-A2FC-CCE8E99A29AD}">
      <text>
        <r>
          <rPr>
            <b/>
            <sz val="9"/>
            <color indexed="81"/>
            <rFont val="Tahoma"/>
            <family val="2"/>
          </rPr>
          <t>Juliana:</t>
        </r>
        <r>
          <rPr>
            <sz val="9"/>
            <color indexed="81"/>
            <rFont val="Tahoma"/>
            <family val="2"/>
          </rPr>
          <t xml:space="preserve">
Fórmula completa</t>
        </r>
      </text>
    </comment>
    <comment ref="G128" authorId="0" shapeId="0" xr:uid="{DB3AD40B-3DD5-4B39-8F50-92C047B4A3D2}">
      <text>
        <r>
          <rPr>
            <b/>
            <sz val="9"/>
            <color indexed="81"/>
            <rFont val="Tahoma"/>
            <family val="2"/>
          </rPr>
          <t>Juliana:</t>
        </r>
        <r>
          <rPr>
            <sz val="9"/>
            <color indexed="81"/>
            <rFont val="Tahoma"/>
            <family val="2"/>
          </rPr>
          <t xml:space="preserve">
Información tomada de los modelos de costo de producción del MAG para Zuquini/Zapallo Central Oriental 2018.
Ciclo reportado: 4 meses (3 ciclos en 1 año)
Unidad de costeo: 1 ha.
https://www.dropbox.com/sh/2x7md0ok5ow1csn/AAAoh3QJYXZOkXHRHw1DwOrBa?dl=0
</t>
        </r>
      </text>
    </comment>
    <comment ref="C129" authorId="0" shapeId="0" xr:uid="{02787AE1-2CC6-44A2-9C96-E26F28614EC6}">
      <text>
        <r>
          <rPr>
            <b/>
            <sz val="9"/>
            <color indexed="81"/>
            <rFont val="Tahoma"/>
            <family val="2"/>
          </rPr>
          <t>Juliana:</t>
        </r>
        <r>
          <rPr>
            <sz val="9"/>
            <color indexed="81"/>
            <rFont val="Tahoma"/>
            <family val="2"/>
          </rPr>
          <t xml:space="preserve">
De acuerdo a:
http://www.coopelibertad.com/almacen/detalle_producto.aspx?id=4120&amp;idcat=11</t>
        </r>
      </text>
    </comment>
    <comment ref="H129" authorId="0" shapeId="0" xr:uid="{D99AE6AA-3E68-4A38-BAB3-92CCC95F6843}">
      <text>
        <r>
          <rPr>
            <b/>
            <sz val="9"/>
            <color indexed="81"/>
            <rFont val="Tahoma"/>
            <family val="2"/>
          </rPr>
          <t>Juliana:</t>
        </r>
        <r>
          <rPr>
            <sz val="9"/>
            <color indexed="81"/>
            <rFont val="Tahoma"/>
            <family val="2"/>
          </rPr>
          <t xml:space="preserve">
Fórmula completa</t>
        </r>
      </text>
    </comment>
    <comment ref="I131" authorId="0" shapeId="0" xr:uid="{69BA600E-3032-4327-98F3-9C76FDE19E61}">
      <text>
        <r>
          <rPr>
            <b/>
            <sz val="9"/>
            <color indexed="81"/>
            <rFont val="Tahoma"/>
            <family val="2"/>
          </rPr>
          <t>Juliana:</t>
        </r>
        <r>
          <rPr>
            <sz val="9"/>
            <color indexed="81"/>
            <rFont val="Tahoma"/>
            <family val="2"/>
          </rPr>
          <t xml:space="preserve">
8 quintales por ha, cada 4 meses. 1 quintal = 100 kg</t>
        </r>
      </text>
    </comment>
    <comment ref="C133" authorId="0" shapeId="0" xr:uid="{A1201A65-3F57-4C91-8D7F-57884A0576E6}">
      <text>
        <r>
          <rPr>
            <b/>
            <sz val="9"/>
            <color indexed="81"/>
            <rFont val="Tahoma"/>
            <family val="2"/>
          </rPr>
          <t>Juliana:</t>
        </r>
        <r>
          <rPr>
            <sz val="9"/>
            <color indexed="81"/>
            <rFont val="Tahoma"/>
            <family val="2"/>
          </rPr>
          <t xml:space="preserve">
De acuerdo a: http://agrotico.net/web/index.php/nitrato-magnesio</t>
        </r>
      </text>
    </comment>
    <comment ref="B145" authorId="0" shapeId="0" xr:uid="{8F2253F3-C36C-4782-800A-970B240E0A9B}">
      <text>
        <r>
          <rPr>
            <b/>
            <sz val="9"/>
            <color indexed="81"/>
            <rFont val="Tahoma"/>
            <family val="2"/>
          </rPr>
          <t>Juliana:</t>
        </r>
        <r>
          <rPr>
            <sz val="9"/>
            <color indexed="81"/>
            <rFont val="Tahoma"/>
            <family val="2"/>
          </rPr>
          <t xml:space="preserve">
Se calcula FE a partir de costos de producción reportados por el MAG y disposiciones del IPCC debido a que no se tiene información sobre la aplicación de fertilizantes para estos cultivos (información de encuestas)  y no se tiene FE reportado por el  IMN.
Los modelos de costo de producción pueden encontrarse en: http://www.infoagro.go.cr/EstadisticasAgropecuarias/CostosProduccion/Paginas/default.aspx
La colección de modelos utilizados para los cálculos de este inventario puede encontrarlos en: https://www.dropbox.com/sh/2x7md0ok5ow1csn/AAAoh3QJYXZOkXHRHw1DwOrBa?dl=0</t>
        </r>
      </text>
    </comment>
    <comment ref="B162" authorId="0" shapeId="0" xr:uid="{593356D8-1C9E-4B66-B498-6049AE317B0B}">
      <text>
        <r>
          <rPr>
            <b/>
            <sz val="9"/>
            <color indexed="81"/>
            <rFont val="Tahoma"/>
            <family val="2"/>
          </rPr>
          <t>Juliana:</t>
        </r>
        <r>
          <rPr>
            <sz val="9"/>
            <color indexed="81"/>
            <rFont val="Tahoma"/>
            <family val="2"/>
          </rPr>
          <t xml:space="preserve">
Se reporta en las notas que la aplicación de cal se realiza una vez al año o una vez cada dos años. Se toma una aplicación 1 vez al año.</t>
        </r>
      </text>
    </comment>
    <comment ref="B164" authorId="0" shapeId="0" xr:uid="{CF751C92-0F5C-4620-AC93-BACE0EF6B277}">
      <text>
        <r>
          <rPr>
            <b/>
            <sz val="9"/>
            <color indexed="81"/>
            <rFont val="Tahoma"/>
            <family val="2"/>
          </rPr>
          <t>Juliana:</t>
        </r>
        <r>
          <rPr>
            <sz val="9"/>
            <color indexed="81"/>
            <rFont val="Tahoma"/>
            <family val="2"/>
          </rPr>
          <t xml:space="preserve">
Se calcula FE a partir de costos de producción reportados por el MAG y disposiciones del IPCC debido a que no se tiene información sobre la aplicación de fertilizantes para estos cultivos (información de encuestas)  y no se tiene FE reportado por el  IMN.
Los modelos de costo de producción pueden encontrarse en: http://www.infoagro.go.cr/EstadisticasAgropecuarias/CostosProduccion/Paginas/default.aspx
La colección de modelos utilizados para los cálculos de este inventario puede encontrarlos en: https://www.dropbox.com/sh/2x7md0ok5ow1csn/AAAoh3QJYXZOkXHRHw1DwOrBa?dl=0</t>
        </r>
      </text>
    </comment>
    <comment ref="B167" authorId="0" shapeId="0" xr:uid="{C2EE78DE-07D7-4581-9B99-DC460810E4C2}">
      <text>
        <r>
          <rPr>
            <b/>
            <sz val="9"/>
            <color indexed="81"/>
            <rFont val="Tahoma"/>
            <family val="2"/>
          </rPr>
          <t>Juliana:</t>
        </r>
        <r>
          <rPr>
            <sz val="9"/>
            <color indexed="81"/>
            <rFont val="Tahoma"/>
            <family val="2"/>
          </rPr>
          <t xml:space="preserve">
Información tomada de los modelos de costo de producción del MAG para Apio Central Oriental 2021 
Ciclo reportado: 2 meses (6 ciclos en 1 año)
Unidad de costeo: 1ha
https://www.dropbox.com/sh/2x7md0ok5ow1csn/AAAoh3QJYXZOkXHRHw1DwOrBa?dl=0</t>
        </r>
      </text>
    </comment>
    <comment ref="G167" authorId="0" shapeId="0" xr:uid="{C8744E71-C711-41D0-8A76-3ECB4B405DC8}">
      <text>
        <r>
          <rPr>
            <b/>
            <sz val="9"/>
            <color indexed="81"/>
            <rFont val="Tahoma"/>
            <family val="2"/>
          </rPr>
          <t>Juliana:</t>
        </r>
        <r>
          <rPr>
            <sz val="9"/>
            <color indexed="81"/>
            <rFont val="Tahoma"/>
            <family val="2"/>
          </rPr>
          <t xml:space="preserve">
Información tomada de los modelos de costo de producción del MAG para Camote Huetar Caribe 2015.
Se considera la información 2015, Huetar Caribe ya que no se encuentra información región central.
Ciclo reportado: 1 año
Unidad de costeo: 1ha
https://www.dropbox.com/sh/2x7md0ok5ow1csn/AAAoh3QJYXZOkXHRHw1DwOrBa?dl=0</t>
        </r>
      </text>
    </comment>
    <comment ref="D170" authorId="0" shapeId="0" xr:uid="{4284079A-937A-464D-B1B7-2DCEA7A1E82B}">
      <text>
        <r>
          <rPr>
            <b/>
            <sz val="9"/>
            <color indexed="81"/>
            <rFont val="Tahoma"/>
            <family val="2"/>
          </rPr>
          <t>Juliana:</t>
        </r>
        <r>
          <rPr>
            <sz val="9"/>
            <color indexed="81"/>
            <rFont val="Tahoma"/>
            <family val="2"/>
          </rPr>
          <t xml:space="preserve">
1 ton = 1000 kg</t>
        </r>
      </text>
    </comment>
    <comment ref="I170" authorId="0" shapeId="0" xr:uid="{A6EE19C5-8F5A-468D-A01E-96895C9859D4}">
      <text>
        <r>
          <rPr>
            <b/>
            <sz val="9"/>
            <color indexed="81"/>
            <rFont val="Tahoma"/>
            <family val="2"/>
          </rPr>
          <t>Juliana:</t>
        </r>
        <r>
          <rPr>
            <sz val="9"/>
            <color indexed="81"/>
            <rFont val="Tahoma"/>
            <family val="2"/>
          </rPr>
          <t xml:space="preserve">
1 ton = 1000 kg</t>
        </r>
      </text>
    </comment>
    <comment ref="B174" authorId="0" shapeId="0" xr:uid="{AE7F1A90-4170-4AA8-9C4D-8A7E944048ED}">
      <text>
        <r>
          <rPr>
            <b/>
            <sz val="9"/>
            <color indexed="81"/>
            <rFont val="Tahoma"/>
            <family val="2"/>
          </rPr>
          <t>Juliana:</t>
        </r>
        <r>
          <rPr>
            <sz val="9"/>
            <color indexed="81"/>
            <rFont val="Tahoma"/>
            <family val="2"/>
          </rPr>
          <t xml:space="preserve">
Información tomada de los modelos de costo de producción del MAG para chile Central Oriental 2022.
Ciclo reportado: 6 meses (2 ciclos en 1 año)
Unidad de costeo: 1ha
https://www.dropbox.com/sh/2x7md0ok5ow1csn/AAAoh3QJYXZOkXHRHw1DwOrBa?dl=0</t>
        </r>
      </text>
    </comment>
    <comment ref="G174" authorId="0" shapeId="0" xr:uid="{A4CFF01A-9309-4760-B8B0-56B3B43FB319}">
      <text>
        <r>
          <rPr>
            <b/>
            <sz val="9"/>
            <color indexed="81"/>
            <rFont val="Tahoma"/>
            <family val="2"/>
          </rPr>
          <t>Juliana:</t>
        </r>
        <r>
          <rPr>
            <sz val="9"/>
            <color indexed="81"/>
            <rFont val="Tahoma"/>
            <family val="2"/>
          </rPr>
          <t xml:space="preserve">
Información tomada de los modelos de costo de producción del MAG para Guanábana Brunca 2020.
Se considera la información Brunca ya que no se encuentra información región central.
Ciclo reportado: 1 año
Unidad de costeo: 1ha
https://www.dropbox.com/sh/2x7md0ok5ow1csn/AAAoh3QJYXZOkXHRHw1DwOrBa?dl=0</t>
        </r>
      </text>
    </comment>
    <comment ref="D177" authorId="0" shapeId="0" xr:uid="{B0C8F6A5-EA3D-4C55-948F-5EAACFFDC081}">
      <text>
        <r>
          <rPr>
            <b/>
            <sz val="9"/>
            <color indexed="81"/>
            <rFont val="Tahoma"/>
            <family val="2"/>
          </rPr>
          <t>Juliana:</t>
        </r>
        <r>
          <rPr>
            <sz val="9"/>
            <color indexed="81"/>
            <rFont val="Tahoma"/>
            <family val="2"/>
          </rPr>
          <t xml:space="preserve">
1 ton = 1000 kg</t>
        </r>
      </text>
    </comment>
    <comment ref="I177" authorId="0" shapeId="0" xr:uid="{B25F1BBB-7DFB-481D-924B-3A0DF97936BB}">
      <text>
        <r>
          <rPr>
            <b/>
            <sz val="9"/>
            <color indexed="81"/>
            <rFont val="Tahoma"/>
            <family val="2"/>
          </rPr>
          <t>Juliana:</t>
        </r>
        <r>
          <rPr>
            <sz val="9"/>
            <color indexed="81"/>
            <rFont val="Tahoma"/>
            <family val="2"/>
          </rPr>
          <t xml:space="preserve">
1 ton = 1000 kg</t>
        </r>
      </text>
    </comment>
    <comment ref="B181" authorId="0" shapeId="0" xr:uid="{4F7F4927-5957-4238-8771-962C475A0105}">
      <text>
        <r>
          <rPr>
            <b/>
            <sz val="9"/>
            <color indexed="81"/>
            <rFont val="Tahoma"/>
            <family val="2"/>
          </rPr>
          <t>Juliana:</t>
        </r>
        <r>
          <rPr>
            <sz val="9"/>
            <color indexed="81"/>
            <rFont val="Tahoma"/>
            <family val="2"/>
          </rPr>
          <t xml:space="preserve">
Información tomada de los modelos de costo de producción del MAG para lechuga Central Oriental 2021.
Ciclo reportado: 2 meses (6 ciclos en 1 año)
Unidad de costeo: 1ha
https://www.dropbox.com/sh/2x7md0ok5ow1csn/AAAoh3QJYXZOkXHRHw1DwOrBa?dl=0</t>
        </r>
      </text>
    </comment>
    <comment ref="G181" authorId="0" shapeId="0" xr:uid="{18F814EB-C524-4760-A542-07A3B4C67B63}">
      <text>
        <r>
          <rPr>
            <b/>
            <sz val="9"/>
            <color indexed="81"/>
            <rFont val="Tahoma"/>
            <family val="2"/>
          </rPr>
          <t>Juliana:</t>
        </r>
        <r>
          <rPr>
            <sz val="9"/>
            <color indexed="81"/>
            <rFont val="Tahoma"/>
            <family val="2"/>
          </rPr>
          <t xml:space="preserve">
Información tomada de los modelos de costo de producción del MAG para Piña Huetar Norte 2016.
Se considera la información Huetar Norte ya que no se encuentra información región central 
Ciclo reportado: 1 año
Unidad de costeo: 1ha
https://www.dropbox.com/sh/2x7md0ok5ow1csn/AAAoh3QJYXZOkXHRHw1DwOrBa?dl=0</t>
        </r>
      </text>
    </comment>
    <comment ref="D184" authorId="0" shapeId="0" xr:uid="{AD01E3DB-5EF8-4C8E-B1C9-31B0638C9D12}">
      <text>
        <r>
          <rPr>
            <b/>
            <sz val="9"/>
            <color indexed="81"/>
            <rFont val="Tahoma"/>
            <family val="2"/>
          </rPr>
          <t>Juliana:</t>
        </r>
        <r>
          <rPr>
            <sz val="9"/>
            <color indexed="81"/>
            <rFont val="Tahoma"/>
            <family val="2"/>
          </rPr>
          <t xml:space="preserve">
1 ton = 1000 kg
1 quintal = 100 kg</t>
        </r>
      </text>
    </comment>
    <comment ref="I184" authorId="0" shapeId="0" xr:uid="{93ED0105-E86C-49DD-8996-91B302B2A8EF}">
      <text>
        <r>
          <rPr>
            <b/>
            <sz val="9"/>
            <color indexed="81"/>
            <rFont val="Tahoma"/>
            <family val="2"/>
          </rPr>
          <t>Juliana:</t>
        </r>
        <r>
          <rPr>
            <sz val="9"/>
            <color indexed="81"/>
            <rFont val="Tahoma"/>
            <family val="2"/>
          </rPr>
          <t xml:space="preserve">
1 ton = 1000 kg</t>
        </r>
      </text>
    </comment>
    <comment ref="B188" authorId="0" shapeId="0" xr:uid="{18A956BC-1FED-4E26-8397-D0E340132097}">
      <text>
        <r>
          <rPr>
            <b/>
            <sz val="9"/>
            <color indexed="81"/>
            <rFont val="Tahoma"/>
            <family val="2"/>
          </rPr>
          <t>Juliana:</t>
        </r>
        <r>
          <rPr>
            <sz val="9"/>
            <color indexed="81"/>
            <rFont val="Tahoma"/>
            <family val="2"/>
          </rPr>
          <t xml:space="preserve">
Información tomada de los modelos de costo de producción del MAG para Tomate Central Occidental 2021.
Ciclo reportado: 6 meses (2 ciclos en 1 año)
Unidad de costeo: 1ha
https://www.dropbox.com/sh/2x7md0ok5ow1csn/AAAoh3QJYXZOkXHRHw1DwOrBa?dl=0</t>
        </r>
      </text>
    </comment>
    <comment ref="D191" authorId="0" shapeId="0" xr:uid="{B7F10425-9A3B-4E38-A0FB-B028D6625BFC}">
      <text>
        <r>
          <rPr>
            <b/>
            <sz val="9"/>
            <color indexed="81"/>
            <rFont val="Tahoma"/>
            <family val="2"/>
          </rPr>
          <t>Juliana:</t>
        </r>
        <r>
          <rPr>
            <sz val="9"/>
            <color indexed="81"/>
            <rFont val="Tahoma"/>
            <family val="2"/>
          </rPr>
          <t xml:space="preserve">
kg/saco de cal tomado de http://www.coopelibertad.com/almacen/detalle_producto.aspx?id=4134&amp;idcat=11
1 ton=1000 kg</t>
        </r>
      </text>
    </comment>
    <comment ref="B199" authorId="0" shapeId="0" xr:uid="{4599434E-A05A-4DA6-8939-959C9ED72C6F}">
      <text>
        <r>
          <rPr>
            <b/>
            <sz val="9"/>
            <color indexed="81"/>
            <rFont val="Tahoma"/>
            <family val="2"/>
          </rPr>
          <t>Juliana:</t>
        </r>
        <r>
          <rPr>
            <sz val="9"/>
            <color indexed="81"/>
            <rFont val="Tahoma"/>
            <family val="2"/>
          </rPr>
          <t xml:space="preserve">
https://www.dropbox.com/s/rxjafjs544u61hw/Sistematizaci%C3%B3n%20de%20resultados_Agropecuario_Bel%C3%A9n.xlsx?dl=0</t>
        </r>
      </text>
    </comment>
    <comment ref="B219" authorId="0" shapeId="0" xr:uid="{70C0A5D5-626B-476D-83B4-D2739ABA8A81}">
      <text>
        <r>
          <rPr>
            <b/>
            <sz val="9"/>
            <color indexed="81"/>
            <rFont val="Tahoma"/>
            <family val="2"/>
          </rPr>
          <t>Juliana:</t>
        </r>
        <r>
          <rPr>
            <sz val="9"/>
            <color indexed="81"/>
            <rFont val="Tahoma"/>
            <family val="2"/>
          </rPr>
          <t xml:space="preserve">
https://www.dropbox.com/sh/wjfkj0sinffcx6k/AAB-mJDh4P6I8ItYZotdT2gKa?dl=0</t>
        </r>
      </text>
    </comment>
    <comment ref="E222" authorId="0" shapeId="0" xr:uid="{FF17DF93-2C61-44FB-B2CC-D2B2380EDDCD}">
      <text>
        <r>
          <rPr>
            <b/>
            <sz val="9"/>
            <color indexed="81"/>
            <rFont val="Tahoma"/>
            <family val="2"/>
          </rPr>
          <t>Juliana:</t>
        </r>
        <r>
          <rPr>
            <sz val="9"/>
            <color indexed="81"/>
            <rFont val="Tahoma"/>
            <family val="2"/>
          </rPr>
          <t xml:space="preserve">
Se utilizan los datos reportados en el cuadro 2.4, volumen 4, capitulo 2 para pastos tropicales y subtropicales del IPCC. 
https://www.dropbox.com/s/c2im402aujkvxtx/V4_02_Ch2_Generic.pdf?dl=0</t>
        </r>
      </text>
    </comment>
    <comment ref="G222" authorId="0" shapeId="0" xr:uid="{01C56080-1A9B-4E55-ABCE-78CB166C5390}">
      <text>
        <r>
          <rPr>
            <b/>
            <sz val="9"/>
            <color indexed="81"/>
            <rFont val="Tahoma"/>
            <family val="2"/>
          </rPr>
          <t>Juliana:</t>
        </r>
        <r>
          <rPr>
            <sz val="9"/>
            <color indexed="81"/>
            <rFont val="Tahoma"/>
            <family val="2"/>
          </rPr>
          <t xml:space="preserve">
Se utilizan los datos reportados en el cuadro 2.5, volumen 4, capitulo 2 para pastos tropicales y subtropicales del IPCC. 
https://www.dropbox.com/s/c2im402aujkvxtx/V4_02_Ch2_Generic.pdf?dl=0</t>
        </r>
      </text>
    </comment>
    <comment ref="B266" authorId="0" shapeId="0" xr:uid="{0A0E6ADF-9935-4C1C-9E4C-8D389E4FDAF4}">
      <text>
        <r>
          <rPr>
            <b/>
            <sz val="9"/>
            <color indexed="81"/>
            <rFont val="Tahoma"/>
            <family val="2"/>
          </rPr>
          <t>Juliana:</t>
        </r>
        <r>
          <rPr>
            <sz val="9"/>
            <color indexed="81"/>
            <rFont val="Tahoma"/>
            <family val="2"/>
          </rPr>
          <t xml:space="preserve">
https://www.dropbox.com/s/03hxq0s4fwiav8q/cuadros_resultados.xlsx?dl=0</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Juliana</author>
    <author>Jessie</author>
  </authors>
  <commentList>
    <comment ref="H141" authorId="0" shapeId="0" xr:uid="{1CED1105-0A90-4D29-9F7E-6B3AAB7A19E1}">
      <text>
        <r>
          <rPr>
            <b/>
            <sz val="9"/>
            <color indexed="81"/>
            <rFont val="Tahoma"/>
            <family val="2"/>
          </rPr>
          <t>Juliana:</t>
        </r>
        <r>
          <rPr>
            <sz val="9"/>
            <color indexed="81"/>
            <rFont val="Tahoma"/>
            <family val="2"/>
          </rPr>
          <t xml:space="preserve">
https://www.observatorio-acuicultura.es/informacion-de-interes/proyectos-de-id-destacados/huella-de-carbono-en-la-cadena-de-valor-de-la</t>
        </r>
      </text>
    </comment>
    <comment ref="C164" authorId="1" shapeId="0" xr:uid="{00000000-0006-0000-0300-000001000000}">
      <text>
        <r>
          <rPr>
            <b/>
            <sz val="9"/>
            <color indexed="81"/>
            <rFont val="Tahoma"/>
            <family val="2"/>
          </rPr>
          <t xml:space="preserve">Gases cubiertos por el tratado internacional (Protocolo de Montreal, 1987) que tiene como objetivo la "eliminación"de sustancias específicas conocidas que agotan el ozono.
 </t>
        </r>
        <r>
          <rPr>
            <sz val="9"/>
            <color indexed="81"/>
            <rFont val="Tahoma"/>
            <family val="2"/>
          </rPr>
          <t xml:space="preserve">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Juliana</author>
  </authors>
  <commentList>
    <comment ref="V10" authorId="0" shapeId="0" xr:uid="{2D55FB1E-09BA-4666-B3CA-CD164FFD6019}">
      <text>
        <r>
          <rPr>
            <b/>
            <sz val="9"/>
            <color indexed="81"/>
            <rFont val="Tahoma"/>
            <family val="2"/>
          </rPr>
          <t>Juliana:</t>
        </r>
        <r>
          <rPr>
            <sz val="9"/>
            <color indexed="81"/>
            <rFont val="Tahoma"/>
            <family val="2"/>
          </rPr>
          <t xml:space="preserve">
https://www.dropbox.com/s/6adrrp1z3hd9t5f/Soto_%202019_Gestion_Residuos.pdf?dl=0</t>
        </r>
      </text>
    </comment>
    <comment ref="N27" authorId="0" shapeId="0" xr:uid="{3BEDEE08-BB21-4C9C-883F-F439F7678FC5}">
      <text>
        <r>
          <rPr>
            <b/>
            <sz val="9"/>
            <color indexed="81"/>
            <rFont val="Tahoma"/>
            <family val="2"/>
          </rPr>
          <t>Juliana:</t>
        </r>
        <r>
          <rPr>
            <sz val="9"/>
            <color indexed="81"/>
            <rFont val="Tahoma"/>
            <family val="2"/>
          </rPr>
          <t xml:space="preserve">
Se multiplica por 1000 ya que se pasa de Gg a ton</t>
        </r>
      </text>
    </comment>
    <comment ref="K45" authorId="0" shapeId="0" xr:uid="{46F37D3C-50AD-411F-BD6D-55FC1FC4C5F8}">
      <text>
        <r>
          <rPr>
            <b/>
            <sz val="9"/>
            <color indexed="81"/>
            <rFont val="Tahoma"/>
            <family val="2"/>
          </rPr>
          <t>Juliana:</t>
        </r>
        <r>
          <rPr>
            <sz val="9"/>
            <color indexed="81"/>
            <rFont val="Tahoma"/>
            <family val="2"/>
          </rPr>
          <t xml:space="preserve">
Unidades Gg CO2/Gg</t>
        </r>
      </text>
    </comment>
    <comment ref="O45" authorId="0" shapeId="0" xr:uid="{775D1FC2-24FE-41F8-AB8C-8B66E0BF6E12}">
      <text>
        <r>
          <rPr>
            <b/>
            <sz val="9"/>
            <color indexed="81"/>
            <rFont val="Tahoma"/>
            <family val="2"/>
          </rPr>
          <t>Juliana:</t>
        </r>
        <r>
          <rPr>
            <sz val="9"/>
            <color indexed="81"/>
            <rFont val="Tahoma"/>
            <family val="2"/>
          </rPr>
          <t xml:space="preserve">
Se multiplica por 1000 ya que se paa de Gg a ton</t>
        </r>
      </text>
    </comment>
    <comment ref="K51" authorId="0" shapeId="0" xr:uid="{D160FA2F-F92F-4676-A2E8-E8D14548AE70}">
      <text>
        <r>
          <rPr>
            <b/>
            <sz val="9"/>
            <color indexed="81"/>
            <rFont val="Tahoma"/>
            <family val="2"/>
          </rPr>
          <t>Juliana:</t>
        </r>
        <r>
          <rPr>
            <sz val="9"/>
            <color indexed="81"/>
            <rFont val="Tahoma"/>
            <family val="2"/>
          </rPr>
          <t xml:space="preserve">
Unidades Gg CO2/Gg</t>
        </r>
      </text>
    </comment>
    <comment ref="O51" authorId="0" shapeId="0" xr:uid="{9F5580BC-A4DC-477E-A97A-224AD71AFB9A}">
      <text>
        <r>
          <rPr>
            <b/>
            <sz val="9"/>
            <color indexed="81"/>
            <rFont val="Tahoma"/>
            <family val="2"/>
          </rPr>
          <t>Juliana:</t>
        </r>
        <r>
          <rPr>
            <sz val="9"/>
            <color indexed="81"/>
            <rFont val="Tahoma"/>
            <family val="2"/>
          </rPr>
          <t xml:space="preserve">
Se multiplica por 1000 ya que se paa de Gg a ton</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Jessie</author>
    <author>Juliana</author>
  </authors>
  <commentList>
    <comment ref="AD8" authorId="0" shapeId="0" xr:uid="{956C8B1D-5D0A-461C-8E22-F74BC3FFE622}">
      <text>
        <r>
          <rPr>
            <b/>
            <sz val="9"/>
            <color indexed="81"/>
            <rFont val="Tahoma"/>
            <family val="2"/>
          </rPr>
          <t xml:space="preserve">Incluya cualquier otro gas de efecto invernadero identificado </t>
        </r>
        <r>
          <rPr>
            <sz val="9"/>
            <color indexed="81"/>
            <rFont val="Tahoma"/>
            <family val="2"/>
          </rPr>
          <t xml:space="preserve">
</t>
        </r>
      </text>
    </comment>
    <comment ref="AZ8" authorId="0" shapeId="0" xr:uid="{F4B58716-ECF9-40E9-89A6-2741866009E7}">
      <text>
        <r>
          <rPr>
            <b/>
            <sz val="9"/>
            <color indexed="81"/>
            <rFont val="Tahoma"/>
            <family val="2"/>
          </rPr>
          <t xml:space="preserve">Incluya cualquier otro gas de efecto invernadero identificado </t>
        </r>
        <r>
          <rPr>
            <sz val="9"/>
            <color indexed="81"/>
            <rFont val="Tahoma"/>
            <family val="2"/>
          </rPr>
          <t xml:space="preserve">
</t>
        </r>
      </text>
    </comment>
    <comment ref="AD18" authorId="0" shapeId="0" xr:uid="{00000000-0006-0000-0700-000003000000}">
      <text>
        <r>
          <rPr>
            <b/>
            <sz val="9"/>
            <color indexed="81"/>
            <rFont val="Tahoma"/>
            <family val="2"/>
          </rPr>
          <t xml:space="preserve">Incluya cualquier otro gas de efecto invernadero identificado </t>
        </r>
        <r>
          <rPr>
            <sz val="9"/>
            <color indexed="81"/>
            <rFont val="Tahoma"/>
            <family val="2"/>
          </rPr>
          <t xml:space="preserve">
</t>
        </r>
      </text>
    </comment>
    <comment ref="AZ18" authorId="0" shapeId="0" xr:uid="{6B33EE5C-A91A-4011-9470-6E4F4BDF9F6F}">
      <text>
        <r>
          <rPr>
            <b/>
            <sz val="9"/>
            <color indexed="81"/>
            <rFont val="Tahoma"/>
            <family val="2"/>
          </rPr>
          <t xml:space="preserve">Incluya cualquier otro gas de efecto invernadero identificado </t>
        </r>
        <r>
          <rPr>
            <sz val="9"/>
            <color indexed="81"/>
            <rFont val="Tahoma"/>
            <family val="2"/>
          </rPr>
          <t xml:space="preserve">
</t>
        </r>
      </text>
    </comment>
    <comment ref="R99" authorId="1" shapeId="0" xr:uid="{A0C2121D-C8E0-44AE-8F47-8FB34DBF1FC2}">
      <text>
        <r>
          <rPr>
            <b/>
            <sz val="9"/>
            <color indexed="81"/>
            <rFont val="Tahoma"/>
            <family val="2"/>
          </rPr>
          <t>Juliana:</t>
        </r>
        <r>
          <rPr>
            <sz val="9"/>
            <color indexed="81"/>
            <rFont val="Tahoma"/>
            <family val="2"/>
          </rPr>
          <t xml:space="preserve">
R410a/R507/R600a/R290</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Juliana</author>
  </authors>
  <commentList>
    <comment ref="I40" authorId="0" shapeId="0" xr:uid="{AAFCE055-489D-45A6-9BEE-5BC94412C728}">
      <text>
        <r>
          <rPr>
            <b/>
            <sz val="9"/>
            <color indexed="81"/>
            <rFont val="Tahoma"/>
            <family val="2"/>
          </rPr>
          <t>Juliana:</t>
        </r>
        <r>
          <rPr>
            <sz val="9"/>
            <color indexed="81"/>
            <rFont val="Tahoma"/>
            <family val="2"/>
          </rPr>
          <t xml:space="preserve">
Cantidad de industrias obtenida de patentes comerciales e industriales.
https://www.dropbox.com/s/1ts6h29kt8ko25y/Bel%C3%A9n_listado%20de%20patentes%202022.xlsx?dl=0</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Juliana</author>
  </authors>
  <commentList>
    <comment ref="B17" authorId="0" shapeId="0" xr:uid="{A1D7E95C-6A65-4B80-97EA-154EAC6FE12A}">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J19" authorId="0" shapeId="0" xr:uid="{11B28E6A-44CD-444B-8A3A-26800B4B81E0}">
      <text>
        <r>
          <rPr>
            <b/>
            <sz val="9"/>
            <color indexed="81"/>
            <rFont val="Tahoma"/>
            <family val="2"/>
          </rPr>
          <t>Juliana:</t>
        </r>
        <r>
          <rPr>
            <sz val="9"/>
            <color indexed="81"/>
            <rFont val="Tahoma"/>
            <family val="2"/>
          </rPr>
          <t xml:space="preserve">
Obtenido en diagnóstico municipal.
https://www.dropbox.com/s/ojy9jna429ggaq5/Tama%C3%B1o%20Muestra_Encuestas%20Bel%C3%A9n.xlsx?dl=0</t>
        </r>
      </text>
    </comment>
    <comment ref="B23" authorId="0" shapeId="0" xr:uid="{27FD5555-3B85-4A90-8EAA-0EC2B0307254}">
      <text>
        <r>
          <rPr>
            <b/>
            <sz val="9"/>
            <color indexed="81"/>
            <rFont val="Tahoma"/>
            <family val="2"/>
          </rPr>
          <t>Juliana:</t>
        </r>
        <r>
          <rPr>
            <sz val="9"/>
            <color indexed="81"/>
            <rFont val="Tahoma"/>
            <family val="2"/>
          </rPr>
          <t xml:space="preserve">
Valor calórico tomado del IPCC 2019, V2, CH1, introducción, cuadro 1.2, miestras que los factores de emisión se toman del IPCC 2019, V2, CH2, Combustión Estacionaria, Cuadro 2.5.
https://www.dropbox.com/sh/4j1itzex3sqw2i6/AABm0MQVxv5GG9GWSogTSo-ta?dl=0</t>
        </r>
      </text>
    </comment>
    <comment ref="B28" authorId="0" shapeId="0" xr:uid="{5440852B-F224-41E5-AE06-6E6A731F6E08}">
      <text>
        <r>
          <rPr>
            <b/>
            <sz val="9"/>
            <color indexed="81"/>
            <rFont val="Tahoma"/>
            <family val="2"/>
          </rPr>
          <t>Juliana:</t>
        </r>
        <r>
          <rPr>
            <sz val="9"/>
            <color indexed="81"/>
            <rFont val="Tahoma"/>
            <family val="2"/>
          </rPr>
          <t xml:space="preserve">
Valor calórico tomado del IPCC 2019, V2, CH1, introducción, cuadro 1.2, miestras que los factores de emisión se toman del IPCC 2019, V2, CH2, Combustión Estacionaria, Cuadro 2.5.</t>
        </r>
      </text>
    </comment>
    <comment ref="B35" authorId="0" shapeId="0" xr:uid="{0D91CA07-A296-4DB4-93A2-03F34D4472D8}">
      <text>
        <r>
          <rPr>
            <b/>
            <sz val="9"/>
            <color indexed="81"/>
            <rFont val="Tahoma"/>
            <family val="2"/>
          </rPr>
          <t>Juliana:</t>
        </r>
        <r>
          <rPr>
            <sz val="9"/>
            <color indexed="81"/>
            <rFont val="Tahoma"/>
            <family val="2"/>
          </rPr>
          <t xml:space="preserve">
Origen de los datos en Sistematización de encuestas: https://www.dropbox.com/s/bce66n16fzu8jia/Sistematizaci%C3%B3n%20de%20resultados_Comercios_Municipalidad%20de%20Bel%C3%A9n.xlsx?dl=0</t>
        </r>
      </text>
    </comment>
    <comment ref="C37" authorId="0" shapeId="0" xr:uid="{07AEF9BB-7734-4748-B037-3F92CA94B0C2}">
      <text>
        <r>
          <rPr>
            <b/>
            <sz val="9"/>
            <color indexed="81"/>
            <rFont val="Tahoma"/>
            <family val="2"/>
          </rPr>
          <t>Juliana:</t>
        </r>
        <r>
          <rPr>
            <sz val="9"/>
            <color indexed="81"/>
            <rFont val="Tahoma"/>
            <family val="2"/>
          </rPr>
          <t xml:space="preserve">
Equipo estacionario+movil
</t>
        </r>
      </text>
    </comment>
    <comment ref="D37" authorId="0" shapeId="0" xr:uid="{2AA17D5D-DA22-433B-B1B8-56B0D9F1F3CA}">
      <text>
        <r>
          <rPr>
            <b/>
            <sz val="9"/>
            <color indexed="81"/>
            <rFont val="Tahoma"/>
            <family val="2"/>
          </rPr>
          <t>Juliana:</t>
        </r>
        <r>
          <rPr>
            <sz val="9"/>
            <color indexed="81"/>
            <rFont val="Tahoma"/>
            <family val="2"/>
          </rPr>
          <t xml:space="preserve">
Equipo estacionario+movil</t>
        </r>
      </text>
    </comment>
    <comment ref="F37" authorId="0" shapeId="0" xr:uid="{6A067823-211C-4847-86B1-4EBE29691364}">
      <text>
        <r>
          <rPr>
            <b/>
            <sz val="9"/>
            <color indexed="81"/>
            <rFont val="Tahoma"/>
            <family val="2"/>
          </rPr>
          <t>Juliana:</t>
        </r>
        <r>
          <rPr>
            <sz val="9"/>
            <color indexed="81"/>
            <rFont val="Tahoma"/>
            <family val="2"/>
          </rPr>
          <t xml:space="preserve">
Equipo estacionario+movil</t>
        </r>
      </text>
    </comment>
    <comment ref="G37" authorId="0" shapeId="0" xr:uid="{F399AC74-FB03-48AA-9597-DFF41721DAD6}">
      <text>
        <r>
          <rPr>
            <b/>
            <sz val="9"/>
            <color indexed="81"/>
            <rFont val="Tahoma"/>
            <family val="2"/>
          </rPr>
          <t>Juliana:</t>
        </r>
        <r>
          <rPr>
            <sz val="9"/>
            <color indexed="81"/>
            <rFont val="Tahoma"/>
            <family val="2"/>
          </rPr>
          <t xml:space="preserve">
Lubricante como combustible en equipo movil</t>
        </r>
      </text>
    </comment>
    <comment ref="J37" authorId="0" shapeId="0" xr:uid="{94A766B6-11E5-425F-B65F-D81B0E6770C1}">
      <text>
        <r>
          <rPr>
            <b/>
            <sz val="9"/>
            <color indexed="81"/>
            <rFont val="Tahoma"/>
            <family val="2"/>
          </rPr>
          <t>Juliana:</t>
        </r>
        <r>
          <rPr>
            <sz val="9"/>
            <color indexed="81"/>
            <rFont val="Tahoma"/>
            <family val="2"/>
          </rPr>
          <t xml:space="preserve">
Fuente: Registro de patentes municipal y lista de instituciones
https://www.dropbox.com/s/ojy9jna429ggaq5/Tama%C3%B1o%20Muestra_Encuestas%20Bel%C3%A9n.xlsx?dl=0</t>
        </r>
      </text>
    </comment>
    <comment ref="B41" authorId="0" shapeId="0" xr:uid="{80658E7D-6BAD-409F-BA37-BB25E9A5CF72}">
      <text>
        <r>
          <rPr>
            <b/>
            <sz val="9"/>
            <color indexed="81"/>
            <rFont val="Tahoma"/>
            <family val="2"/>
          </rPr>
          <t>Juliana:</t>
        </r>
        <r>
          <rPr>
            <sz val="9"/>
            <color indexed="81"/>
            <rFont val="Tahoma"/>
            <family val="2"/>
          </rPr>
          <t xml:space="preserve">
Valor calórico tomado del IPCC 2019, V2, CH1, introducción, cuadro 1.2, miestras que los factores de emisión se toman del IPCC 2019, V2, CH2, Combustión Estacionaria, Cuadro 2.5.
https://www.dropbox.com/sh/4j1itzex3sqw2i6/AABm0MQVxv5GG9GWSogTSo-ta?dl=0</t>
        </r>
      </text>
    </comment>
    <comment ref="B49" authorId="0" shapeId="0" xr:uid="{9879ADA8-3C02-4C76-BB0E-E34C240E4081}">
      <text>
        <r>
          <rPr>
            <b/>
            <sz val="9"/>
            <color indexed="81"/>
            <rFont val="Tahoma"/>
            <family val="2"/>
          </rPr>
          <t>Juliana:</t>
        </r>
        <r>
          <rPr>
            <sz val="9"/>
            <color indexed="81"/>
            <rFont val="Tahoma"/>
            <family val="2"/>
          </rPr>
          <t xml:space="preserve">
Origen de los datos en Sistematización de encuestas: https://www.dropbox.com/s/2fccrtf84w6xpie/BIOMATEC-BEL%C3%89N-Sistematizaci%C3%B3n%20de%20Industrias.xlsx?dl=0</t>
        </r>
      </text>
    </comment>
    <comment ref="C50" authorId="0" shapeId="0" xr:uid="{96A290EF-9C86-48C5-ADAD-4E0193BF7F7F}">
      <text>
        <r>
          <rPr>
            <b/>
            <sz val="9"/>
            <color indexed="81"/>
            <rFont val="Tahoma"/>
            <family val="2"/>
          </rPr>
          <t>Juliana:</t>
        </r>
        <r>
          <rPr>
            <sz val="9"/>
            <color indexed="81"/>
            <rFont val="Tahoma"/>
            <family val="2"/>
          </rPr>
          <t xml:space="preserve">
Equipo Estacionario + móvil + calderas
Datos de encuesta a industrias +
Dato de calderas tomado de reportes operacionales de calderas en el cantón
https://www.dropbox.com/s/kn63cyvo09n3liw/Calderas%20de%20Bel%C3%A9n_con%20c%C3%B3digo.xlsx?dl=</t>
        </r>
      </text>
    </comment>
    <comment ref="D50" authorId="0" shapeId="0" xr:uid="{3F60B52D-1636-4DE2-8025-BA5BE73FA064}">
      <text>
        <r>
          <rPr>
            <b/>
            <sz val="9"/>
            <color indexed="81"/>
            <rFont val="Tahoma"/>
            <family val="2"/>
          </rPr>
          <t>Juliana:</t>
        </r>
        <r>
          <rPr>
            <sz val="9"/>
            <color indexed="81"/>
            <rFont val="Tahoma"/>
            <family val="2"/>
          </rPr>
          <t xml:space="preserve">
Equipo estacionario+movil</t>
        </r>
      </text>
    </comment>
    <comment ref="E50" authorId="0" shapeId="0" xr:uid="{470D03C5-D727-42A9-84C5-6082C15A6EF1}">
      <text>
        <r>
          <rPr>
            <b/>
            <sz val="9"/>
            <color indexed="81"/>
            <rFont val="Tahoma"/>
            <family val="2"/>
          </rPr>
          <t>Juliana:</t>
        </r>
        <r>
          <rPr>
            <sz val="9"/>
            <color indexed="81"/>
            <rFont val="Tahoma"/>
            <family val="2"/>
          </rPr>
          <t xml:space="preserve">
Tomado de reportes operacionales de calderas en el cantón
https://www.dropbox.com/s/kn63cyvo09n3liw/Calderas%20de%20Bel%C3%A9n_con%20c%C3%B3digo.xlsx?dl=0</t>
        </r>
      </text>
    </comment>
    <comment ref="F50" authorId="0" shapeId="0" xr:uid="{EF73EA7B-5FA5-451E-A1A5-2F3B30EF33EF}">
      <text>
        <r>
          <rPr>
            <b/>
            <sz val="9"/>
            <color indexed="81"/>
            <rFont val="Tahoma"/>
            <family val="2"/>
          </rPr>
          <t>Juliana:</t>
        </r>
        <r>
          <rPr>
            <sz val="9"/>
            <color indexed="81"/>
            <rFont val="Tahoma"/>
            <family val="2"/>
          </rPr>
          <t xml:space="preserve">
Equipo Estacionario + móvil + calderas
Datos de encuesta a industrias +
Dato de calderas tomado de reportes operacionales de calderas en el cantón
https://www.dropbox.com/s/kn63cyvo09n3liw/Calderas%20de%20Bel%C3%A9n_con%20c%C3%B3digo.xlsx?dl=</t>
        </r>
      </text>
    </comment>
    <comment ref="J50" authorId="0" shapeId="0" xr:uid="{08749217-1C67-4CD2-81BD-E0884A216886}">
      <text>
        <r>
          <rPr>
            <b/>
            <sz val="9"/>
            <color indexed="81"/>
            <rFont val="Tahoma"/>
            <family val="2"/>
          </rPr>
          <t>Juliana:</t>
        </r>
        <r>
          <rPr>
            <sz val="9"/>
            <color indexed="81"/>
            <rFont val="Tahoma"/>
            <family val="2"/>
          </rPr>
          <t xml:space="preserve">
https://www.dropbox.com/s/ojy9jna429ggaq5/Tama%C3%B1o%20Muestra_Encuestas%20Bel%C3%A9n.xlsx?dl=0</t>
        </r>
      </text>
    </comment>
    <comment ref="G51" authorId="0" shapeId="0" xr:uid="{5DA3F90C-CF6E-46AA-B354-6A9E4FCBB177}">
      <text>
        <r>
          <rPr>
            <b/>
            <sz val="9"/>
            <color indexed="81"/>
            <rFont val="Tahoma"/>
            <family val="2"/>
          </rPr>
          <t>Juliana:</t>
        </r>
        <r>
          <rPr>
            <sz val="9"/>
            <color indexed="81"/>
            <rFont val="Tahoma"/>
            <family val="2"/>
          </rPr>
          <t xml:space="preserve">
Lubricante como combustible en equipo movil</t>
        </r>
      </text>
    </comment>
    <comment ref="J51" authorId="0" shapeId="0" xr:uid="{722FC3D4-A06C-41D1-A08A-D8E74D502629}">
      <text>
        <r>
          <rPr>
            <b/>
            <sz val="9"/>
            <color indexed="81"/>
            <rFont val="Tahoma"/>
            <family val="2"/>
          </rPr>
          <t>Juliana:</t>
        </r>
        <r>
          <rPr>
            <sz val="9"/>
            <color indexed="81"/>
            <rFont val="Tahoma"/>
            <family val="2"/>
          </rPr>
          <t xml:space="preserve">
Obtenido de patentes comerciales e industriales.
https://www.dropbox.com/s/1ts6h29kt8ko25y/Bel%C3%A9n_listado%20de%20patentes%202022.xlsx?dl=0</t>
        </r>
      </text>
    </comment>
    <comment ref="B55" authorId="0" shapeId="0" xr:uid="{65E50920-F254-442A-8AFD-DB5D28807197}">
      <text>
        <r>
          <rPr>
            <b/>
            <sz val="9"/>
            <color indexed="81"/>
            <rFont val="Tahoma"/>
            <family val="2"/>
          </rPr>
          <t>Juliana:</t>
        </r>
        <r>
          <rPr>
            <sz val="9"/>
            <color indexed="81"/>
            <rFont val="Tahoma"/>
            <family val="2"/>
          </rPr>
          <t xml:space="preserve">
Valor calórico tomado del IPCC 2019, V2, CH1, introducción, cuadro 1.2, miestras que los factores de emisión se toman del IPCC 2019, V2, CH2, Combustión Estacionaria, Cuadro 2.5.
https://www.dropbox.com/sh/4j1itzex3sqw2i6/AABm0MQVxv5GG9GWSogTSo-ta?dl=0</t>
        </r>
      </text>
    </comment>
    <comment ref="C57" authorId="0" shapeId="0" xr:uid="{1C27C222-60CC-41F2-AB7C-E4CDF7A72C55}">
      <text>
        <r>
          <rPr>
            <b/>
            <sz val="9"/>
            <color indexed="81"/>
            <rFont val="Tahoma"/>
            <family val="2"/>
          </rPr>
          <t>Juliana:</t>
        </r>
        <r>
          <rPr>
            <sz val="9"/>
            <color indexed="81"/>
            <rFont val="Tahoma"/>
            <family val="2"/>
          </rPr>
          <t xml:space="preserve">
Tomado de reportes operacionales de calderas en el cantón
https://www.dropbox.com/s/kn63cyvo09n3liw/Calderas%20de%20Bel%C3%A9n_con%20c%C3%B3digo.xlsx?dl=0</t>
        </r>
      </text>
    </comment>
    <comment ref="B60" authorId="0" shapeId="0" xr:uid="{1E629909-40BE-4FBC-AFEE-05E349E5B55C}">
      <text>
        <r>
          <rPr>
            <b/>
            <sz val="9"/>
            <color indexed="81"/>
            <rFont val="Tahoma"/>
            <family val="2"/>
          </rPr>
          <t>Juliana:</t>
        </r>
        <r>
          <rPr>
            <sz val="9"/>
            <color indexed="81"/>
            <rFont val="Tahoma"/>
            <family val="2"/>
          </rPr>
          <t xml:space="preserve">
Valor calórico tomado del IPCC 2019, V2, CH1, introducción, cuadro 1.2, miestras que los factores de emisión se toman del IPCC 2019, V2, CH2, Combustión Estacionaria, Cuadro 2.5.</t>
        </r>
      </text>
    </comment>
    <comment ref="B67" authorId="0" shapeId="0" xr:uid="{F6367E6B-A7B1-4E09-A878-5F8FFE36EA51}">
      <text>
        <r>
          <rPr>
            <b/>
            <sz val="9"/>
            <color indexed="81"/>
            <rFont val="Tahoma"/>
            <family val="2"/>
          </rPr>
          <t>Juliana:</t>
        </r>
        <r>
          <rPr>
            <sz val="9"/>
            <color indexed="81"/>
            <rFont val="Tahoma"/>
            <family val="2"/>
          </rPr>
          <t xml:space="preserve">
Origen de los datos en Sistematización de encuestas: https://www.dropbox.com/s/rxjafjs544u61hw/Sistematizaci%C3%B3n%20de%20resultados_Agropecuario_Bel%C3%A9n.xlsx?dl=0</t>
        </r>
      </text>
    </comment>
    <comment ref="J68" authorId="0" shapeId="0" xr:uid="{0E34A29B-0FA2-4EFD-A242-19D54F23CB6D}">
      <text>
        <r>
          <rPr>
            <b/>
            <sz val="9"/>
            <color indexed="81"/>
            <rFont val="Tahoma"/>
            <family val="2"/>
          </rPr>
          <t>Juliana:</t>
        </r>
        <r>
          <rPr>
            <sz val="9"/>
            <color indexed="81"/>
            <rFont val="Tahoma"/>
            <family val="2"/>
          </rPr>
          <t xml:space="preserve">
https://www.dropbox.com/s/ojy9jna429ggaq5/Tama%C3%B1o%20Muestra_Encuestas%20Bel%C3%A9n.xlsx?dl=0</t>
        </r>
      </text>
    </comment>
    <comment ref="D69" authorId="0" shapeId="0" xr:uid="{BF603514-04D7-453C-A76B-5312E03F2D55}">
      <text>
        <r>
          <rPr>
            <b/>
            <sz val="9"/>
            <color indexed="81"/>
            <rFont val="Tahoma"/>
            <family val="2"/>
          </rPr>
          <t>Juliana:</t>
        </r>
        <r>
          <rPr>
            <sz val="9"/>
            <color indexed="81"/>
            <rFont val="Tahoma"/>
            <family val="2"/>
          </rPr>
          <t xml:space="preserve">
Equipo estacionario+movil</t>
        </r>
      </text>
    </comment>
    <comment ref="G69" authorId="0" shapeId="0" xr:uid="{A19DD7F0-A93B-43E1-9D12-379DD60C4BA8}">
      <text>
        <r>
          <rPr>
            <b/>
            <sz val="9"/>
            <color indexed="81"/>
            <rFont val="Tahoma"/>
            <family val="2"/>
          </rPr>
          <t>Juliana:</t>
        </r>
        <r>
          <rPr>
            <sz val="9"/>
            <color indexed="81"/>
            <rFont val="Tahoma"/>
            <family val="2"/>
          </rPr>
          <t xml:space="preserve">
Lubricante como combustible en equipo movil</t>
        </r>
      </text>
    </comment>
    <comment ref="J69" authorId="0" shapeId="0" xr:uid="{5E76B680-A896-4126-8BCA-101F9BF281CB}">
      <text>
        <r>
          <rPr>
            <b/>
            <sz val="9"/>
            <color indexed="81"/>
            <rFont val="Tahoma"/>
            <family val="2"/>
          </rPr>
          <t>Juliana:</t>
        </r>
        <r>
          <rPr>
            <sz val="9"/>
            <color indexed="81"/>
            <rFont val="Tahoma"/>
            <family val="2"/>
          </rPr>
          <t xml:space="preserve">
https://www.dropbox.com/s/nywmfz2l92w2tcx/Visita%20a%20productores%20Agropecuarios.xlsx?dl=0</t>
        </r>
      </text>
    </comment>
    <comment ref="B73" authorId="0" shapeId="0" xr:uid="{BD75E105-3026-4B8F-9271-C5557C43032E}">
      <text>
        <r>
          <rPr>
            <b/>
            <sz val="9"/>
            <color indexed="81"/>
            <rFont val="Tahoma"/>
            <family val="2"/>
          </rPr>
          <t>Juliana:</t>
        </r>
        <r>
          <rPr>
            <sz val="9"/>
            <color indexed="81"/>
            <rFont val="Tahoma"/>
            <family val="2"/>
          </rPr>
          <t xml:space="preserve">
Valor calórico tomado del IPCC 2019, V2, CH1, introducción, cuadro 1.2, miestras que los factores de emisión se toman del IPCC 2019, V2, CH2, Combustión Estacionaria, Cuadro 2.5.
https://www.dropbox.com/sh/4j1itzex3sqw2i6/AABm0MQVxv5GG9GWSogTSo-ta?dl=0</t>
        </r>
      </text>
    </comment>
    <comment ref="B78" authorId="0" shapeId="0" xr:uid="{23686A12-40F8-47A5-9D5C-9FC625D30A8C}">
      <text>
        <r>
          <rPr>
            <b/>
            <sz val="9"/>
            <color indexed="81"/>
            <rFont val="Tahoma"/>
            <family val="2"/>
          </rPr>
          <t>Juliana:</t>
        </r>
        <r>
          <rPr>
            <sz val="9"/>
            <color indexed="81"/>
            <rFont val="Tahoma"/>
            <family val="2"/>
          </rPr>
          <t xml:space="preserve">
Valor calórico tomado del IPCC 2019, V2, CH1, introducción, cuadro 1.2, miestras que los factores de emisión se toman del IPCC 2019, V2, CH2, Combustión Estacionaria, Cuadro 2.5.</t>
        </r>
      </text>
    </comment>
    <comment ref="B86" authorId="0" shapeId="0" xr:uid="{4D4EA591-E1DC-492E-A4D4-C105783C3BBE}">
      <text>
        <r>
          <rPr>
            <b/>
            <sz val="9"/>
            <color indexed="81"/>
            <rFont val="Tahoma"/>
            <family val="2"/>
          </rPr>
          <t>Juliana:</t>
        </r>
        <r>
          <rPr>
            <sz val="9"/>
            <color indexed="81"/>
            <rFont val="Tahoma"/>
            <family val="2"/>
          </rPr>
          <t xml:space="preserve">
https://www.dropbox.com/sh/9bg5kt1cuafdkxm/AABIGXrSuXFyBM9qehpvUoPva?dl=0</t>
        </r>
      </text>
    </comment>
    <comment ref="B96" authorId="0" shapeId="0" xr:uid="{2FDE7727-F20E-495D-ACA0-4EEB87274BFF}">
      <text>
        <r>
          <rPr>
            <b/>
            <sz val="9"/>
            <color indexed="81"/>
            <rFont val="Tahoma"/>
            <family val="2"/>
          </rPr>
          <t>Juliana:</t>
        </r>
        <r>
          <rPr>
            <sz val="9"/>
            <color indexed="81"/>
            <rFont val="Tahoma"/>
            <family val="2"/>
          </rPr>
          <t xml:space="preserve">
Origen de los datos en Sistematización de encuestas: https://www.dropbox.com/s/rxjafjs544u61hw/Sistematizaci%C3%B3n%20de%20resultados_Agropecuario_Bel%C3%A9n.xlsx?dl=0</t>
        </r>
      </text>
    </comment>
    <comment ref="C100" authorId="0" shapeId="0" xr:uid="{084C6D8D-016C-4FEA-9AD7-30E8E87AAFE4}">
      <text>
        <r>
          <rPr>
            <b/>
            <sz val="9"/>
            <color indexed="81"/>
            <rFont val="Tahoma"/>
            <family val="2"/>
          </rPr>
          <t>Juliana:</t>
        </r>
        <r>
          <rPr>
            <sz val="9"/>
            <color indexed="81"/>
            <rFont val="Tahoma"/>
            <family val="2"/>
          </rPr>
          <t xml:space="preserve">
Se resta del total residencial reportado por la CNFL</t>
        </r>
      </text>
    </comment>
    <comment ref="B103" authorId="0" shapeId="0" xr:uid="{47B5B4F7-1946-45D5-841D-89F6C5052022}">
      <text>
        <r>
          <rPr>
            <b/>
            <sz val="9"/>
            <color indexed="81"/>
            <rFont val="Tahoma"/>
            <family val="2"/>
          </rPr>
          <t>Juliana:</t>
        </r>
        <r>
          <rPr>
            <sz val="9"/>
            <color indexed="81"/>
            <rFont val="Tahoma"/>
            <family val="2"/>
          </rPr>
          <t xml:space="preserve">
Origen de los datos en Sistematización de encuestas: 
https://www.dropbox.com/s/2fccrtf84w6xpie/BIOMATEC-BEL%C3%89N-Sistematizaci%C3%B3n%20de%20Industrias.xlsx?dl=0</t>
        </r>
      </text>
    </comment>
    <comment ref="C107" authorId="0" shapeId="0" xr:uid="{7BE0BD18-C565-49A4-8BF7-C90458C9D9DF}">
      <text>
        <r>
          <rPr>
            <b/>
            <sz val="9"/>
            <color indexed="81"/>
            <rFont val="Tahoma"/>
            <family val="2"/>
          </rPr>
          <t>Juliana:</t>
        </r>
        <r>
          <rPr>
            <sz val="9"/>
            <color indexed="81"/>
            <rFont val="Tahoma"/>
            <family val="2"/>
          </rPr>
          <t xml:space="preserve">
Consumo adicional al reportado por CNFL</t>
        </r>
      </text>
    </comment>
    <comment ref="B113" authorId="0" shapeId="0" xr:uid="{FC0358BB-421F-4FC9-8E84-25B118FAD10A}">
      <text>
        <r>
          <rPr>
            <b/>
            <sz val="9"/>
            <color indexed="81"/>
            <rFont val="Tahoma"/>
            <family val="2"/>
          </rPr>
          <t>Juliana:</t>
        </r>
        <r>
          <rPr>
            <sz val="9"/>
            <color indexed="81"/>
            <rFont val="Tahoma"/>
            <family val="2"/>
          </rPr>
          <t xml:space="preserve">
https://www.dropbox.com/sh/9bg5kt1cuafdkxm/AABIGXrSuXFyBM9qehpvUoPva?dl=0</t>
        </r>
      </text>
    </comment>
    <comment ref="B124" authorId="0" shapeId="0" xr:uid="{2C7E9306-6884-4137-84C8-B337C871B82B}">
      <text>
        <r>
          <rPr>
            <b/>
            <sz val="9"/>
            <color indexed="81"/>
            <rFont val="Tahoma"/>
            <family val="2"/>
          </rPr>
          <t>Juliana:</t>
        </r>
        <r>
          <rPr>
            <sz val="9"/>
            <color indexed="81"/>
            <rFont val="Tahoma"/>
            <family val="2"/>
          </rPr>
          <t xml:space="preserve">
Origen de los datos en Sistematización de encuestas: https://www.dropbox.com/s/rxjafjs544u61hw/Sistematizaci%C3%B3n%20de%20resultados_Agropecuario_Bel%C3%A9n.xlsx?dl=0</t>
        </r>
      </text>
    </comment>
    <comment ref="B133" authorId="0" shapeId="0" xr:uid="{6BA5316D-FC4E-41AE-B5DE-CAC8C5562708}">
      <text>
        <r>
          <rPr>
            <b/>
            <sz val="9"/>
            <color indexed="81"/>
            <rFont val="Tahoma"/>
            <family val="2"/>
          </rPr>
          <t>Juliana:</t>
        </r>
        <r>
          <rPr>
            <sz val="9"/>
            <color indexed="81"/>
            <rFont val="Tahoma"/>
            <family val="2"/>
          </rPr>
          <t xml:space="preserve">
https://www.dropbox.com/sh/lwlw24vsi7g8h1u/AABl109FKv0iOjHLo3z4Z3oSa?dl=0</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Juliana</author>
  </authors>
  <commentList>
    <comment ref="B19" authorId="0" shapeId="0" xr:uid="{EFAB9EFF-11B8-4EE4-BB2B-189064787603}">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B26" authorId="0" shapeId="0" xr:uid="{8CE6860A-446D-46D4-8D1E-422A07899A62}">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E28" authorId="0" shapeId="0" xr:uid="{A4359F6E-1A43-43E3-9BE2-73F8997A7D54}">
      <text>
        <r>
          <rPr>
            <b/>
            <sz val="9"/>
            <color indexed="81"/>
            <rFont val="Tahoma"/>
            <family val="2"/>
          </rPr>
          <t>Juliana:</t>
        </r>
        <r>
          <rPr>
            <sz val="9"/>
            <color indexed="81"/>
            <rFont val="Tahoma"/>
            <family val="2"/>
          </rPr>
          <t xml:space="preserve">
No se encuentra ningún consumo en vehículos en comercios a través de encuesta</t>
        </r>
      </text>
    </comment>
    <comment ref="B30" authorId="0" shapeId="0" xr:uid="{30B81372-83BC-4881-B581-D257B4D11330}">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E32" authorId="0" shapeId="0" xr:uid="{F743AA64-FD88-415C-8AE0-597FD3B99823}">
      <text>
        <r>
          <rPr>
            <b/>
            <sz val="9"/>
            <color indexed="81"/>
            <rFont val="Tahoma"/>
            <family val="2"/>
          </rPr>
          <t>Juliana:</t>
        </r>
        <r>
          <rPr>
            <sz val="9"/>
            <color indexed="81"/>
            <rFont val="Tahoma"/>
            <family val="2"/>
          </rPr>
          <t xml:space="preserve">
No se encuentra ningún consumo en vehículos en comercios a través de encuesta</t>
        </r>
      </text>
    </comment>
    <comment ref="B34" authorId="0" shapeId="0" xr:uid="{47C590E6-0E96-4A08-8A58-35E947593D90}">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E36" authorId="0" shapeId="0" xr:uid="{E8500597-2F5C-4BF4-9CF5-827C392E772A}">
      <text>
        <r>
          <rPr>
            <b/>
            <sz val="9"/>
            <color indexed="81"/>
            <rFont val="Tahoma"/>
            <family val="2"/>
          </rPr>
          <t>Juliana:</t>
        </r>
        <r>
          <rPr>
            <sz val="9"/>
            <color indexed="81"/>
            <rFont val="Tahoma"/>
            <family val="2"/>
          </rPr>
          <t xml:space="preserve">
No se encuentra ningún consumo en vehículos en comercios a través de encuesta</t>
        </r>
      </text>
    </comment>
    <comment ref="B39" authorId="0" shapeId="0" xr:uid="{EE43B8C6-7AAD-4B89-AED2-B711F39D44D4}">
      <text>
        <r>
          <rPr>
            <b/>
            <sz val="9"/>
            <color indexed="81"/>
            <rFont val="Tahoma"/>
            <family val="2"/>
          </rPr>
          <t>Juliana:</t>
        </r>
        <r>
          <rPr>
            <sz val="9"/>
            <color indexed="81"/>
            <rFont val="Tahoma"/>
            <family val="2"/>
          </rPr>
          <t xml:space="preserve">
Origen de los datos en Sistematización de encuestas: https://www.dropbox.com/s/2fccrtf84w6xpie/BIOMATEC-BEL%C3%89N-Sistematizaci%C3%B3n%20de%20Industrias.xlsx?dl=0</t>
        </r>
      </text>
    </comment>
    <comment ref="E51" authorId="0" shapeId="0" xr:uid="{3999AE75-BE9C-4485-9290-F9BA580EC220}">
      <text>
        <r>
          <rPr>
            <b/>
            <sz val="9"/>
            <color indexed="81"/>
            <rFont val="Tahoma"/>
            <family val="2"/>
          </rPr>
          <t>Juliana:</t>
        </r>
        <r>
          <rPr>
            <sz val="9"/>
            <color indexed="81"/>
            <rFont val="Tahoma"/>
            <family val="2"/>
          </rPr>
          <t xml:space="preserve">
No se identifican vehículos de GLP para pasajeros en la industria</t>
        </r>
      </text>
    </comment>
    <comment ref="B58" authorId="0" shapeId="0" xr:uid="{D501C684-2856-47EF-B6F0-3953C8DA5924}">
      <text>
        <r>
          <rPr>
            <b/>
            <sz val="9"/>
            <color indexed="81"/>
            <rFont val="Tahoma"/>
            <family val="2"/>
          </rPr>
          <t>Juliana:</t>
        </r>
        <r>
          <rPr>
            <sz val="9"/>
            <color indexed="81"/>
            <rFont val="Tahoma"/>
            <family val="2"/>
          </rPr>
          <t xml:space="preserve">
Origen de los datos en Sistematización de encuestas: https://www.dropbox.com/s/rxjafjs544u61hw/Sistematizaci%C3%B3n%20de%20resultados_Agropecuario_Bel%C3%A9n.xlsx?dl=0</t>
        </r>
      </text>
    </comment>
    <comment ref="B72" authorId="0" shapeId="0" xr:uid="{99F553DE-38EB-4BD8-BC46-7CD1C2694DF9}">
      <text>
        <r>
          <rPr>
            <b/>
            <sz val="9"/>
            <color indexed="81"/>
            <rFont val="Tahoma"/>
            <family val="2"/>
          </rPr>
          <t>Juliana:</t>
        </r>
        <r>
          <rPr>
            <sz val="9"/>
            <color indexed="81"/>
            <rFont val="Tahoma"/>
            <family val="2"/>
          </rPr>
          <t xml:space="preserve">
https://www.dropbox.com/sh/qx3pvedsl42npor/AAANTjKlmM_6JJNndlZyyojQa?dl=0</t>
        </r>
      </text>
    </comment>
    <comment ref="B83" authorId="0" shapeId="0" xr:uid="{126BB0FA-1422-40CC-83D5-9014619673E6}">
      <text>
        <r>
          <rPr>
            <b/>
            <sz val="9"/>
            <color indexed="81"/>
            <rFont val="Tahoma"/>
            <family val="2"/>
          </rPr>
          <t>Juliana:</t>
        </r>
        <r>
          <rPr>
            <sz val="9"/>
            <color indexed="81"/>
            <rFont val="Tahoma"/>
            <family val="2"/>
          </rPr>
          <t xml:space="preserve">
https://www.dropbox.com/sh/6qrlyo7o448qrkd/AACqYHitFW2tkb0XlLS5un-Ga?dl=0</t>
        </r>
      </text>
    </comment>
    <comment ref="B89" authorId="0" shapeId="0" xr:uid="{E3644236-DAD1-4C40-B968-F1835E1DD01F}">
      <text>
        <r>
          <rPr>
            <b/>
            <sz val="9"/>
            <color indexed="81"/>
            <rFont val="Tahoma"/>
            <family val="2"/>
          </rPr>
          <t>Juliana:</t>
        </r>
        <r>
          <rPr>
            <sz val="9"/>
            <color indexed="81"/>
            <rFont val="Tahoma"/>
            <family val="2"/>
          </rPr>
          <t xml:space="preserve">
https://www.dropbox.com/sh/wyixg8zptx0757g/AADgRiaphyGfJ3Y0zAs1wxEKa?dl=0</t>
        </r>
      </text>
    </comment>
    <comment ref="E93" authorId="0" shapeId="0" xr:uid="{D0A98D51-B9EB-43A0-B654-0FB61101E30E}">
      <text>
        <r>
          <rPr>
            <b/>
            <sz val="9"/>
            <color indexed="81"/>
            <rFont val="Tahoma"/>
            <family val="2"/>
          </rPr>
          <t>Juliana:</t>
        </r>
        <r>
          <rPr>
            <sz val="9"/>
            <color indexed="81"/>
            <rFont val="Tahoma"/>
            <family val="2"/>
          </rPr>
          <t xml:space="preserve">
487 L Entre las 4 unidades y los 2 viajes por día de recolección</t>
        </r>
      </text>
    </comment>
    <comment ref="H93" authorId="0" shapeId="0" xr:uid="{2BDC2747-ADF7-4530-BB99-144978F36F7F}">
      <text>
        <r>
          <rPr>
            <b/>
            <sz val="9"/>
            <color indexed="81"/>
            <rFont val="Tahoma"/>
            <family val="2"/>
          </rPr>
          <t>Juliana:</t>
        </r>
        <r>
          <rPr>
            <sz val="9"/>
            <color indexed="81"/>
            <rFont val="Tahoma"/>
            <family val="2"/>
          </rPr>
          <t xml:space="preserve">
A azcarri</t>
        </r>
      </text>
    </comment>
    <comment ref="E94" authorId="0" shapeId="0" xr:uid="{F8EDF3A6-8542-41C9-A598-F13799652107}">
      <text>
        <r>
          <rPr>
            <b/>
            <sz val="9"/>
            <color indexed="81"/>
            <rFont val="Tahoma"/>
            <family val="2"/>
          </rPr>
          <t>Juliana:</t>
        </r>
        <r>
          <rPr>
            <sz val="9"/>
            <color indexed="81"/>
            <rFont val="Tahoma"/>
            <family val="2"/>
          </rPr>
          <t xml:space="preserve">
Para 1 unidad, 1 viaje al día</t>
        </r>
      </text>
    </comment>
    <comment ref="H94" authorId="0" shapeId="0" xr:uid="{3CB86D11-852D-4A8D-BFED-673EFE5B3592}">
      <text>
        <r>
          <rPr>
            <b/>
            <sz val="9"/>
            <color indexed="81"/>
            <rFont val="Tahoma"/>
            <family val="2"/>
          </rPr>
          <t>Juliana:</t>
        </r>
        <r>
          <rPr>
            <sz val="9"/>
            <color indexed="81"/>
            <rFont val="Tahoma"/>
            <family val="2"/>
          </rPr>
          <t xml:space="preserve">
A uruca</t>
        </r>
      </text>
    </comment>
    <comment ref="B100" authorId="0" shapeId="0" xr:uid="{671A5B12-3120-47BC-B519-796E1EF3C5D0}">
      <text>
        <r>
          <rPr>
            <b/>
            <sz val="9"/>
            <color indexed="81"/>
            <rFont val="Tahoma"/>
            <family val="2"/>
          </rPr>
          <t>Juliana:</t>
        </r>
        <r>
          <rPr>
            <sz val="9"/>
            <color indexed="81"/>
            <rFont val="Tahoma"/>
            <family val="2"/>
          </rPr>
          <t xml:space="preserve">
https://www.dropbox.com/sh/az7jld3ml84zl57/AAA3KuzkXvbW3VYgyLRuFg7Ba?dl=0</t>
        </r>
      </text>
    </comment>
    <comment ref="D102" authorId="0" shapeId="0" xr:uid="{8FFED323-DFEC-4340-815C-1C064A600DAE}">
      <text>
        <r>
          <rPr>
            <b/>
            <sz val="9"/>
            <color indexed="81"/>
            <rFont val="Tahoma"/>
            <family val="2"/>
          </rPr>
          <t>Juliana:</t>
        </r>
        <r>
          <rPr>
            <sz val="9"/>
            <color indexed="81"/>
            <rFont val="Tahoma"/>
            <family val="2"/>
          </rPr>
          <t xml:space="preserve">
calculo aproximado con google maps</t>
        </r>
      </text>
    </comment>
    <comment ref="E102" authorId="0" shapeId="0" xr:uid="{03B3F6C4-4EF8-4AE8-B1D2-2321B4A8EE71}">
      <text>
        <r>
          <rPr>
            <b/>
            <sz val="9"/>
            <color indexed="81"/>
            <rFont val="Tahoma"/>
            <family val="2"/>
          </rPr>
          <t>Juliana:</t>
        </r>
        <r>
          <rPr>
            <sz val="9"/>
            <color indexed="81"/>
            <rFont val="Tahoma"/>
            <family val="2"/>
          </rPr>
          <t xml:space="preserve">
hasta pedregal</t>
        </r>
      </text>
    </comment>
    <comment ref="F102" authorId="0" shapeId="0" xr:uid="{21A34736-F974-455C-BDCE-F82DF9DA6620}">
      <text>
        <r>
          <rPr>
            <b/>
            <sz val="9"/>
            <color indexed="81"/>
            <rFont val="Tahoma"/>
            <family val="2"/>
          </rPr>
          <t>Juliana:</t>
        </r>
        <r>
          <rPr>
            <sz val="9"/>
            <color indexed="81"/>
            <rFont val="Tahoma"/>
            <family val="2"/>
          </rPr>
          <t xml:space="preserve">
CFIA a metropoli</t>
        </r>
      </text>
    </comment>
    <comment ref="B110" authorId="0" shapeId="0" xr:uid="{531E7CA7-FB2C-4FC0-9C8E-7274102ABF19}">
      <text>
        <r>
          <rPr>
            <b/>
            <sz val="9"/>
            <color indexed="81"/>
            <rFont val="Tahoma"/>
            <family val="2"/>
          </rPr>
          <t>Juliana:</t>
        </r>
        <r>
          <rPr>
            <sz val="9"/>
            <color indexed="81"/>
            <rFont val="Tahoma"/>
            <family val="2"/>
          </rPr>
          <t xml:space="preserve">
https://www.dropbox.com/sh/lqwq0v1fx3bybki/AADP9Nm7mAl9K_i7HtTVWzc5a?dl=0</t>
        </r>
      </text>
    </comment>
    <comment ref="B121" authorId="0" shapeId="0" xr:uid="{85B03402-81A0-4D1D-9930-CB8C9051F797}">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B128" authorId="0" shapeId="0" xr:uid="{473DAF3E-2250-4486-B36E-8B15A88CFC2A}">
      <text>
        <r>
          <rPr>
            <b/>
            <sz val="9"/>
            <color indexed="81"/>
            <rFont val="Tahoma"/>
            <family val="2"/>
          </rPr>
          <t>Juliana:</t>
        </r>
        <r>
          <rPr>
            <sz val="9"/>
            <color indexed="81"/>
            <rFont val="Tahoma"/>
            <family val="2"/>
          </rPr>
          <t xml:space="preserve">
https://www.dropbox.com/sh/qx3pvedsl42npor/AAANTjKlmM_6JJNndlZyyojQa?dl=0</t>
        </r>
      </text>
    </comment>
    <comment ref="B148" authorId="0" shapeId="0" xr:uid="{67968B7E-64C5-438E-9C43-C063247A985C}">
      <text>
        <r>
          <rPr>
            <b/>
            <sz val="9"/>
            <color indexed="81"/>
            <rFont val="Tahoma"/>
            <family val="2"/>
          </rPr>
          <t>Juliana:</t>
        </r>
        <r>
          <rPr>
            <sz val="9"/>
            <color indexed="81"/>
            <rFont val="Tahoma"/>
            <family val="2"/>
          </rPr>
          <t xml:space="preserve">
https://www.dropbox.com/sh/6qrlyo7o448qrkd/AACqYHitFW2tkb0XlLS5un-Ga?dl=0</t>
        </r>
      </text>
    </comment>
    <comment ref="B165" authorId="0" shapeId="0" xr:uid="{F68FCFF8-A172-47F4-8728-E6881A22A233}">
      <text>
        <r>
          <rPr>
            <b/>
            <sz val="9"/>
            <color indexed="81"/>
            <rFont val="Tahoma"/>
            <family val="2"/>
          </rPr>
          <t>Juliana:</t>
        </r>
        <r>
          <rPr>
            <sz val="9"/>
            <color indexed="81"/>
            <rFont val="Tahoma"/>
            <family val="2"/>
          </rPr>
          <t xml:space="preserve">
https://www.dropbox.com/sh/wyixg8zptx0757g/AADgRiaphyGfJ3Y0zAs1wxEKa?dl=0</t>
        </r>
      </text>
    </comment>
    <comment ref="E169" authorId="0" shapeId="0" xr:uid="{5DE1B176-8A4E-486B-A56C-DEBED18D6AF0}">
      <text>
        <r>
          <rPr>
            <b/>
            <sz val="9"/>
            <color indexed="81"/>
            <rFont val="Tahoma"/>
            <family val="2"/>
          </rPr>
          <t>Juliana:</t>
        </r>
        <r>
          <rPr>
            <sz val="9"/>
            <color indexed="81"/>
            <rFont val="Tahoma"/>
            <family val="2"/>
          </rPr>
          <t xml:space="preserve">
487 L Entre las 4 unidades y los 2 viajes por día de recolección</t>
        </r>
      </text>
    </comment>
    <comment ref="H169" authorId="0" shapeId="0" xr:uid="{B7318010-2382-4277-9BEF-930F759FE801}">
      <text>
        <r>
          <rPr>
            <b/>
            <sz val="9"/>
            <color indexed="81"/>
            <rFont val="Tahoma"/>
            <family val="2"/>
          </rPr>
          <t>Juliana:</t>
        </r>
        <r>
          <rPr>
            <sz val="9"/>
            <color indexed="81"/>
            <rFont val="Tahoma"/>
            <family val="2"/>
          </rPr>
          <t xml:space="preserve">
A azcarri</t>
        </r>
      </text>
    </comment>
    <comment ref="E170" authorId="0" shapeId="0" xr:uid="{8E493334-AA01-43C2-B827-F2E89F855F20}">
      <text>
        <r>
          <rPr>
            <b/>
            <sz val="9"/>
            <color indexed="81"/>
            <rFont val="Tahoma"/>
            <family val="2"/>
          </rPr>
          <t>Juliana:</t>
        </r>
        <r>
          <rPr>
            <sz val="9"/>
            <color indexed="81"/>
            <rFont val="Tahoma"/>
            <family val="2"/>
          </rPr>
          <t xml:space="preserve">
Para 1 unidad, 1 viaje al día</t>
        </r>
      </text>
    </comment>
    <comment ref="H170" authorId="0" shapeId="0" xr:uid="{7BFD7EBE-9B62-4796-B48B-E0CD20AEC6CF}">
      <text>
        <r>
          <rPr>
            <b/>
            <sz val="9"/>
            <color indexed="81"/>
            <rFont val="Tahoma"/>
            <family val="2"/>
          </rPr>
          <t>Juliana:</t>
        </r>
        <r>
          <rPr>
            <sz val="9"/>
            <color indexed="81"/>
            <rFont val="Tahoma"/>
            <family val="2"/>
          </rPr>
          <t xml:space="preserve">
A uruca</t>
        </r>
      </text>
    </comment>
    <comment ref="B202" authorId="0" shapeId="0" xr:uid="{6F16901C-EA13-40B6-B76A-FBDE9F20FCA7}">
      <text>
        <r>
          <rPr>
            <b/>
            <sz val="9"/>
            <color indexed="81"/>
            <rFont val="Tahoma"/>
            <family val="2"/>
          </rPr>
          <t>Juliana:</t>
        </r>
        <r>
          <rPr>
            <sz val="9"/>
            <color indexed="81"/>
            <rFont val="Tahoma"/>
            <family val="2"/>
          </rPr>
          <t xml:space="preserve">
https://www.dropbox.com/sh/az7jld3ml84zl57/AAA3KuzkXvbW3VYgyLRuFg7Ba?dl=0</t>
        </r>
      </text>
    </comment>
    <comment ref="D204" authorId="0" shapeId="0" xr:uid="{81A5D064-1C7B-429A-B4BE-E2F0112621B7}">
      <text>
        <r>
          <rPr>
            <b/>
            <sz val="9"/>
            <color indexed="81"/>
            <rFont val="Tahoma"/>
            <family val="2"/>
          </rPr>
          <t>Juliana:</t>
        </r>
        <r>
          <rPr>
            <sz val="9"/>
            <color indexed="81"/>
            <rFont val="Tahoma"/>
            <family val="2"/>
          </rPr>
          <t xml:space="preserve">
calculo aproximado con google maps</t>
        </r>
      </text>
    </comment>
    <comment ref="E204" authorId="0" shapeId="0" xr:uid="{06410C94-E370-44D7-AFCB-D5AB5B69C58E}">
      <text>
        <r>
          <rPr>
            <b/>
            <sz val="9"/>
            <color indexed="81"/>
            <rFont val="Tahoma"/>
            <family val="2"/>
          </rPr>
          <t>Juliana:</t>
        </r>
        <r>
          <rPr>
            <sz val="9"/>
            <color indexed="81"/>
            <rFont val="Tahoma"/>
            <family val="2"/>
          </rPr>
          <t xml:space="preserve">
Pedregal a estación de belén</t>
        </r>
      </text>
    </comment>
    <comment ref="F204" authorId="0" shapeId="0" xr:uid="{87BF093B-63A3-4F1E-914F-2567E68B40A9}">
      <text>
        <r>
          <rPr>
            <b/>
            <sz val="9"/>
            <color indexed="81"/>
            <rFont val="Tahoma"/>
            <family val="2"/>
          </rPr>
          <t>Juliana:</t>
        </r>
        <r>
          <rPr>
            <sz val="9"/>
            <color indexed="81"/>
            <rFont val="Tahoma"/>
            <family val="2"/>
          </rPr>
          <t xml:space="preserve">
CFIA a Metrópoli</t>
        </r>
      </text>
    </comment>
    <comment ref="B223" authorId="0" shapeId="0" xr:uid="{FCEA4023-4B4A-4BA5-8A5D-B339C6600B34}">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C226" authorId="0" shapeId="0" xr:uid="{9ADFD002-9D70-4D9C-A9A7-BCA2EA79D053}">
      <text>
        <r>
          <rPr>
            <b/>
            <sz val="9"/>
            <color indexed="81"/>
            <rFont val="Tahoma"/>
            <family val="2"/>
          </rPr>
          <t>Juliana:</t>
        </r>
        <r>
          <rPr>
            <sz val="9"/>
            <color indexed="81"/>
            <rFont val="Tahoma"/>
            <family val="2"/>
          </rPr>
          <t xml:space="preserve">
Se resta de energía eléctrica residencial en la celda G21 de la pestaña 2.1. Energía</t>
        </r>
      </text>
    </comment>
    <comment ref="B234" authorId="0" shapeId="0" xr:uid="{3E07A9FC-6AC8-40AE-B1A1-666D79AB4F40}">
      <text>
        <r>
          <rPr>
            <b/>
            <sz val="9"/>
            <color indexed="81"/>
            <rFont val="Tahoma"/>
            <family val="2"/>
          </rPr>
          <t>Juliana:</t>
        </r>
        <r>
          <rPr>
            <sz val="9"/>
            <color indexed="81"/>
            <rFont val="Tahoma"/>
            <family val="2"/>
          </rPr>
          <t xml:space="preserve">
https://www.dropbox.com/sh/lqwq0v1fx3bybki/AADP9Nm7mAl9K_i7HtTVWzc5a?dl=0</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Juliana</author>
  </authors>
  <commentList>
    <comment ref="D9" authorId="0" shapeId="0" xr:uid="{94726590-79DF-4331-AF1D-791705C32E96}">
      <text>
        <r>
          <rPr>
            <b/>
            <sz val="9"/>
            <color indexed="81"/>
            <rFont val="Tahoma"/>
            <family val="2"/>
          </rPr>
          <t>Juliana:</t>
        </r>
        <r>
          <rPr>
            <sz val="9"/>
            <color indexed="81"/>
            <rFont val="Tahoma"/>
            <family val="2"/>
          </rPr>
          <t xml:space="preserve">
Datos brindados por la municipalidad de Belén contra facturas mensuales de recolección.
https://www.dropbox.com/sh/wyixg8zptx0757g/AADgRiaphyGfJ3Y0zAs1wxEKa?dl=0</t>
        </r>
      </text>
    </comment>
    <comment ref="B14" authorId="0" shapeId="0" xr:uid="{E2CC7FD8-1D3C-4394-B37B-56E91A5662DE}">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F18" authorId="0" shapeId="0" xr:uid="{6F6DAF0D-A8F7-4C03-A54D-381E838EE0C9}">
      <text>
        <r>
          <rPr>
            <b/>
            <sz val="9"/>
            <color indexed="81"/>
            <rFont val="Tahoma"/>
            <family val="2"/>
          </rPr>
          <t>Juliana:</t>
        </r>
        <r>
          <rPr>
            <sz val="9"/>
            <color indexed="81"/>
            <rFont val="Tahoma"/>
            <family val="2"/>
          </rPr>
          <t xml:space="preserve">
Obtenido en diagnóstico municipal.
https://www.dropbox.com/s/ojy9jna429ggaq5/Tama%C3%B1o%20Muestra_Encuestas%20Bel%C3%A9n.xlsx?dl=0</t>
        </r>
      </text>
    </comment>
    <comment ref="B25" authorId="0" shapeId="0" xr:uid="{3A99E200-F2FF-43FA-9653-ADB2616C5689}">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F29" authorId="0" shapeId="0" xr:uid="{4AB905BC-FBC8-4A78-9466-553C3B493450}">
      <text>
        <r>
          <rPr>
            <b/>
            <sz val="9"/>
            <color indexed="81"/>
            <rFont val="Tahoma"/>
            <family val="2"/>
          </rPr>
          <t>Juliana:</t>
        </r>
        <r>
          <rPr>
            <sz val="9"/>
            <color indexed="81"/>
            <rFont val="Tahoma"/>
            <family val="2"/>
          </rPr>
          <t xml:space="preserve">
Fuente: Registro de patentes municipal y lista de instituciones
https://www.dropbox.com/s/ojy9jna429ggaq5/Tama%C3%B1o%20Muestra_Encuestas%20Bel%C3%A9n.xlsx?dl=0</t>
        </r>
      </text>
    </comment>
    <comment ref="B32" authorId="0" shapeId="0" xr:uid="{D33399B4-D90D-4266-9E82-D65D795F3CF5}">
      <text>
        <r>
          <rPr>
            <b/>
            <sz val="9"/>
            <color indexed="81"/>
            <rFont val="Tahoma"/>
            <family val="2"/>
          </rPr>
          <t>Juliana:</t>
        </r>
        <r>
          <rPr>
            <sz val="9"/>
            <color indexed="81"/>
            <rFont val="Tahoma"/>
            <family val="2"/>
          </rPr>
          <t xml:space="preserve">
Origen de los datos en Sistematización de encuestas: https://www.dropbox.com/s/2fccrtf84w6xpie/BIOMATEC-BEL%C3%89N-Sistematizaci%C3%B3n%20de%20Industrias.xlsx?dl=0</t>
        </r>
      </text>
    </comment>
    <comment ref="F35" authorId="0" shapeId="0" xr:uid="{9279572E-F4C3-40D4-9C12-7C13D3DEE067}">
      <text>
        <r>
          <rPr>
            <b/>
            <sz val="9"/>
            <color indexed="81"/>
            <rFont val="Tahoma"/>
            <family val="2"/>
          </rPr>
          <t>Juliana:</t>
        </r>
        <r>
          <rPr>
            <sz val="9"/>
            <color indexed="81"/>
            <rFont val="Tahoma"/>
            <family val="2"/>
          </rPr>
          <t xml:space="preserve">
https://www.dropbox.com/s/ojy9jna429ggaq5/Tama%C3%B1o%20Muestra_Encuestas%20Bel%C3%A9n.xlsx?dl=0</t>
        </r>
      </text>
    </comment>
    <comment ref="F36" authorId="0" shapeId="0" xr:uid="{E6AEB1B5-C5B6-4220-8705-D71AB068D1E9}">
      <text>
        <r>
          <rPr>
            <b/>
            <sz val="9"/>
            <color indexed="81"/>
            <rFont val="Tahoma"/>
            <family val="2"/>
          </rPr>
          <t>Juliana:</t>
        </r>
        <r>
          <rPr>
            <sz val="9"/>
            <color indexed="81"/>
            <rFont val="Tahoma"/>
            <family val="2"/>
          </rPr>
          <t xml:space="preserve">
Obtenido de patentes comerciales e industriales.
https://www.dropbox.com/s/1ts6h29kt8ko25y/Bel%C3%A9n_listado%20de%20patentes%202022.xlsx?dl=0</t>
        </r>
      </text>
    </comment>
    <comment ref="B39" authorId="0" shapeId="0" xr:uid="{E14C91DE-D0CF-4BFF-A7FC-7C58ED5B8A71}">
      <text>
        <r>
          <rPr>
            <b/>
            <sz val="9"/>
            <color indexed="81"/>
            <rFont val="Tahoma"/>
            <family val="2"/>
          </rPr>
          <t>Juliana:</t>
        </r>
        <r>
          <rPr>
            <sz val="9"/>
            <color indexed="81"/>
            <rFont val="Tahoma"/>
            <family val="2"/>
          </rPr>
          <t xml:space="preserve">
Origen de los datos en Sistematización de encuestas: https://www.dropbox.com/s/rxjafjs544u61hw/Sistematizaci%C3%B3n%20de%20resultados_Agropecuario_Bel%C3%A9n.xlsx?dl=0</t>
        </r>
      </text>
    </comment>
    <comment ref="F42" authorId="0" shapeId="0" xr:uid="{ABA49320-0AFD-4994-8B05-A367D2A4E3FF}">
      <text>
        <r>
          <rPr>
            <b/>
            <sz val="9"/>
            <color indexed="81"/>
            <rFont val="Tahoma"/>
            <family val="2"/>
          </rPr>
          <t>Juliana:</t>
        </r>
        <r>
          <rPr>
            <sz val="9"/>
            <color indexed="81"/>
            <rFont val="Tahoma"/>
            <family val="2"/>
          </rPr>
          <t xml:space="preserve">
https://www.dropbox.com/s/ojy9jna429ggaq5/Tama%C3%B1o%20Muestra_Encuestas%20Bel%C3%A9n.xlsx?dl=0</t>
        </r>
      </text>
    </comment>
    <comment ref="F43" authorId="0" shapeId="0" xr:uid="{4055483E-4B00-42F4-BD54-761EC6246D9A}">
      <text>
        <r>
          <rPr>
            <b/>
            <sz val="9"/>
            <color indexed="81"/>
            <rFont val="Tahoma"/>
            <family val="2"/>
          </rPr>
          <t>Juliana:</t>
        </r>
        <r>
          <rPr>
            <sz val="9"/>
            <color indexed="81"/>
            <rFont val="Tahoma"/>
            <family val="2"/>
          </rPr>
          <t xml:space="preserve">
https://www.dropbox.com/s/nywmfz2l92w2tcx/Visita%20a%20productores%20Agropecuarios.xlsx?dl=0</t>
        </r>
      </text>
    </comment>
    <comment ref="B49" authorId="0" shapeId="0" xr:uid="{2A7EA5BC-6055-460D-B424-C53398F073FA}">
      <text>
        <r>
          <rPr>
            <b/>
            <sz val="9"/>
            <color indexed="81"/>
            <rFont val="Tahoma"/>
            <family val="2"/>
          </rPr>
          <t>Juliana:</t>
        </r>
        <r>
          <rPr>
            <sz val="9"/>
            <color indexed="81"/>
            <rFont val="Tahoma"/>
            <family val="2"/>
          </rPr>
          <t xml:space="preserve">
https://www.dropbox.com/sh/wjfkj0sinffcx6k/AAB-mJDh4P6I8ItYZotdT2gKa?dl=0</t>
        </r>
      </text>
    </comment>
    <comment ref="C53" authorId="0" shapeId="0" xr:uid="{79BFFE6C-BF19-4726-9827-7F90DD9F662A}">
      <text>
        <r>
          <rPr>
            <b/>
            <sz val="9"/>
            <color indexed="81"/>
            <rFont val="Tahoma"/>
            <family val="2"/>
          </rPr>
          <t>Juliana:</t>
        </r>
        <r>
          <rPr>
            <sz val="9"/>
            <color indexed="81"/>
            <rFont val="Tahoma"/>
            <family val="2"/>
          </rPr>
          <t xml:space="preserve">
Densidad promedio de los residuos sólidos en CR es tomada de "TASAS DE GENERACIÓN Y CARACTERIZACIÓN DE RESIDUOS SÓLIDOS ORDINARIOS EN CUATRO MUNICIPIOS DEL ÁREA METROPOLITANA COSTA RICA" 2016
https://www.dropbox.com/s/k98qj6jikl5qx4g/Caracterizaci%C3%B3n%20de%20residuos%20en%20CR.pdf?dl=0</t>
        </r>
      </text>
    </comment>
    <comment ref="B67" authorId="0" shapeId="0" xr:uid="{E3CA0CF2-110C-48F0-8C76-140F80E5CB30}">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B73" authorId="0" shapeId="0" xr:uid="{2D7DA22B-40AC-486F-8026-494C2439A523}">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B83" authorId="0" shapeId="0" xr:uid="{E1DFBEFE-EA69-4093-80D4-23F555E6A9FA}">
      <text>
        <r>
          <rPr>
            <b/>
            <sz val="9"/>
            <color indexed="81"/>
            <rFont val="Tahoma"/>
            <family val="2"/>
          </rPr>
          <t>Juliana:</t>
        </r>
        <r>
          <rPr>
            <sz val="9"/>
            <color indexed="81"/>
            <rFont val="Tahoma"/>
            <family val="2"/>
          </rPr>
          <t xml:space="preserve">
tomado de estudio de caracterización de residuos en Belén 2020. Fig 6 y 7.
https://www.dropbox.com/s/w86y7hte63m787n/Informe%20estudio%20de%20caracterizaci%C3%B3n%20de%20residuos%20Bel%C3%A9n%202020.pdf?dl=0</t>
        </r>
      </text>
    </comment>
    <comment ref="B96" authorId="0" shapeId="0" xr:uid="{30DF9902-239C-4E61-9CFA-A2855F9A8912}">
      <text>
        <r>
          <rPr>
            <b/>
            <sz val="9"/>
            <color indexed="81"/>
            <rFont val="Tahoma"/>
            <family val="2"/>
          </rPr>
          <t>Juliana:</t>
        </r>
        <r>
          <rPr>
            <sz val="9"/>
            <color indexed="81"/>
            <rFont val="Tahoma"/>
            <family val="2"/>
          </rPr>
          <t xml:space="preserve">
contenedores tomados de https://cr.epaenlinea.com/catalogsearch/result/?q=basurero</t>
        </r>
      </text>
    </comment>
    <comment ref="B100" authorId="0" shapeId="0" xr:uid="{26FF5748-B835-4815-B509-0953D27AA84B}">
      <text>
        <r>
          <rPr>
            <b/>
            <sz val="9"/>
            <color indexed="81"/>
            <rFont val="Tahoma"/>
            <family val="2"/>
          </rPr>
          <t>Juliana:</t>
        </r>
        <r>
          <rPr>
            <sz val="9"/>
            <color indexed="81"/>
            <rFont val="Tahoma"/>
            <family val="2"/>
          </rPr>
          <t xml:space="preserve">
https://cr.epaenlinea.com/basurero-con-ruedas-170-litos.html</t>
        </r>
      </text>
    </comment>
    <comment ref="B101" authorId="0" shapeId="0" xr:uid="{1547C49A-0A6C-412D-9743-A79BBBF1E8F3}">
      <text>
        <r>
          <rPr>
            <b/>
            <sz val="9"/>
            <color indexed="81"/>
            <rFont val="Tahoma"/>
            <family val="2"/>
          </rPr>
          <t>Juliana:</t>
        </r>
        <r>
          <rPr>
            <sz val="9"/>
            <color indexed="81"/>
            <rFont val="Tahoma"/>
            <family val="2"/>
          </rPr>
          <t xml:space="preserve">
https://cr.epaenlinea.com/basurero-de-colores-para-jardin-70-l.html</t>
        </r>
      </text>
    </comment>
    <comment ref="B102" authorId="0" shapeId="0" xr:uid="{E6AC87E3-7A2D-4B41-82FA-DDBDD4639FC9}">
      <text>
        <r>
          <rPr>
            <b/>
            <sz val="9"/>
            <color indexed="81"/>
            <rFont val="Tahoma"/>
            <family val="2"/>
          </rPr>
          <t>Juliana:</t>
        </r>
        <r>
          <rPr>
            <sz val="9"/>
            <color indexed="81"/>
            <rFont val="Tahoma"/>
            <family val="2"/>
          </rPr>
          <t xml:space="preserve">
https://cr.epaenlinea.com/basurero-de-reciclaje-plastico-color-azul-42l.html</t>
        </r>
      </text>
    </comment>
    <comment ref="B103" authorId="0" shapeId="0" xr:uid="{FB43DD3E-E863-4DAD-BFE2-244895143E2F}">
      <text>
        <r>
          <rPr>
            <b/>
            <sz val="9"/>
            <color indexed="81"/>
            <rFont val="Tahoma"/>
            <family val="2"/>
          </rPr>
          <t>Juliana:</t>
        </r>
        <r>
          <rPr>
            <sz val="9"/>
            <color indexed="81"/>
            <rFont val="Tahoma"/>
            <family val="2"/>
          </rPr>
          <t xml:space="preserve">
https://cr.epaenlinea.com/basurero-vaiven-variedad-de-colores-20-l.html</t>
        </r>
      </text>
    </comment>
    <comment ref="B104" authorId="0" shapeId="0" xr:uid="{638BA3AB-9FB2-4FEB-929E-4586D2F0022B}">
      <text>
        <r>
          <rPr>
            <b/>
            <sz val="9"/>
            <color indexed="81"/>
            <rFont val="Tahoma"/>
            <family val="2"/>
          </rPr>
          <t>Juliana:</t>
        </r>
        <r>
          <rPr>
            <sz val="9"/>
            <color indexed="81"/>
            <rFont val="Tahoma"/>
            <family val="2"/>
          </rPr>
          <t xml:space="preserve">
https://cr.epaenlinea.com/basurero-cuadrado-acero-inoxidable-12l.html</t>
        </r>
      </text>
    </comment>
    <comment ref="B105" authorId="0" shapeId="0" xr:uid="{87A571C5-CFAD-40E0-A2FD-BD99BF5A45C3}">
      <text>
        <r>
          <rPr>
            <b/>
            <sz val="9"/>
            <color indexed="81"/>
            <rFont val="Tahoma"/>
            <family val="2"/>
          </rPr>
          <t>Juliana:</t>
        </r>
        <r>
          <rPr>
            <sz val="9"/>
            <color indexed="81"/>
            <rFont val="Tahoma"/>
            <family val="2"/>
          </rPr>
          <t xml:space="preserve">
https://cr.epaenlinea.com/basurero-acabado-cromado-5l.html</t>
        </r>
      </text>
    </comment>
    <comment ref="B106" authorId="0" shapeId="0" xr:uid="{69DAC19B-DAB8-46D6-84F8-7D3F84535A7E}">
      <text>
        <r>
          <rPr>
            <b/>
            <sz val="9"/>
            <color indexed="81"/>
            <rFont val="Tahoma"/>
            <family val="2"/>
          </rPr>
          <t>Juliana:</t>
        </r>
        <r>
          <rPr>
            <sz val="9"/>
            <color indexed="81"/>
            <rFont val="Tahoma"/>
            <family val="2"/>
          </rPr>
          <t xml:space="preserve">
https://cgrfiles.cgr.go.cr/publico/docs_cgr/2018/SIGYD_D_2018009278.pdf</t>
        </r>
      </text>
    </comment>
    <comment ref="B107" authorId="0" shapeId="0" xr:uid="{0BF0CF37-AA52-4375-8760-7A549861C9BC}">
      <text>
        <r>
          <rPr>
            <b/>
            <sz val="9"/>
            <color indexed="81"/>
            <rFont val="Tahoma"/>
            <family val="2"/>
          </rPr>
          <t>Juliana:</t>
        </r>
        <r>
          <rPr>
            <sz val="9"/>
            <color indexed="81"/>
            <rFont val="Tahoma"/>
            <family val="2"/>
          </rPr>
          <t xml:space="preserve">
https://cgrfiles.cgr.go.cr/publico/docs_cgr/2018/SIGYD_D_2018009278.pdf</t>
        </r>
      </text>
    </comment>
    <comment ref="F113" authorId="0" shapeId="0" xr:uid="{677525E3-3E3E-408E-8F5A-8ACA020479FD}">
      <text>
        <r>
          <rPr>
            <b/>
            <sz val="9"/>
            <color indexed="81"/>
            <rFont val="Tahoma"/>
            <family val="2"/>
          </rPr>
          <t>Juliana:</t>
        </r>
        <r>
          <rPr>
            <sz val="9"/>
            <color indexed="81"/>
            <rFont val="Tahoma"/>
            <family val="2"/>
          </rPr>
          <t xml:space="preserve">
Datos tomado del cuadro 2.4, V5, Ch2, IPCC, 2006</t>
        </r>
      </text>
    </comment>
    <comment ref="C116" authorId="0" shapeId="0" xr:uid="{21D7F0CC-57DB-4FDB-A9F1-3254A220F617}">
      <text>
        <r>
          <rPr>
            <b/>
            <sz val="9"/>
            <color indexed="81"/>
            <rFont val="Tahoma"/>
            <family val="2"/>
          </rPr>
          <t>Juliana:</t>
        </r>
        <r>
          <rPr>
            <sz val="9"/>
            <color indexed="81"/>
            <rFont val="Tahoma"/>
            <family val="2"/>
          </rPr>
          <t xml:space="preserve">
no contemplado en estudio</t>
        </r>
      </text>
    </comment>
    <comment ref="E125" authorId="0" shapeId="0" xr:uid="{AC60029A-BD80-4F3B-B4DE-9EF314C14ABE}">
      <text>
        <r>
          <rPr>
            <b/>
            <sz val="9"/>
            <color indexed="81"/>
            <rFont val="Tahoma"/>
            <family val="2"/>
          </rPr>
          <t>Juliana:</t>
        </r>
        <r>
          <rPr>
            <sz val="9"/>
            <color indexed="81"/>
            <rFont val="Tahoma"/>
            <family val="2"/>
          </rPr>
          <t xml:space="preserve">
Tomado del Cuadro 5.2, del V5, CH5, IPCC, 2019 para quema a cielo abierto</t>
        </r>
      </text>
    </comment>
    <comment ref="B133" authorId="0" shapeId="0" xr:uid="{A45AF0BC-C8DB-4E19-8C3B-BD05C611996C}">
      <text>
        <r>
          <rPr>
            <b/>
            <sz val="9"/>
            <color indexed="81"/>
            <rFont val="Tahoma"/>
            <family val="2"/>
          </rPr>
          <t>Juliana:</t>
        </r>
        <r>
          <rPr>
            <sz val="9"/>
            <color indexed="81"/>
            <rFont val="Tahoma"/>
            <family val="2"/>
          </rPr>
          <t xml:space="preserve">
Origen de los datos en Sistematización de encuestas: https://www.dropbox.com/s/2fccrtf84w6xpie/BIOMATEC-BEL%C3%89N-Sistematizaci%C3%B3n%20de%20Industrias.xlsx?dl=0</t>
        </r>
      </text>
    </comment>
    <comment ref="B143" authorId="0" shapeId="0" xr:uid="{390FB919-E4A1-462F-8A6B-EAE3D3A758B8}">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G147" authorId="0" shapeId="0" xr:uid="{D93962D4-5DE4-436C-8FE1-9951E6D984DB}">
      <text>
        <r>
          <rPr>
            <b/>
            <sz val="9"/>
            <color indexed="81"/>
            <rFont val="Tahoma"/>
            <family val="2"/>
          </rPr>
          <t>Juliana:</t>
        </r>
        <r>
          <rPr>
            <sz val="9"/>
            <color indexed="81"/>
            <rFont val="Tahoma"/>
            <family val="2"/>
          </rPr>
          <t xml:space="preserve">
Obtenido en diagnóstico municipal.
https://www.dropbox.com/s/ojy9jna429ggaq5/Tama%C3%B1o%20Muestra_Encuestas%20Bel%C3%A9n.xlsx?dl=0</t>
        </r>
      </text>
    </comment>
    <comment ref="G151" authorId="0" shapeId="0" xr:uid="{B7EB1E90-AA8B-4224-9DDB-A783721541A8}">
      <text>
        <r>
          <rPr>
            <b/>
            <sz val="9"/>
            <color indexed="81"/>
            <rFont val="Tahoma"/>
            <family val="2"/>
          </rPr>
          <t>Juliana:</t>
        </r>
        <r>
          <rPr>
            <sz val="9"/>
            <color indexed="81"/>
            <rFont val="Tahoma"/>
            <family val="2"/>
          </rPr>
          <t xml:space="preserve">
https://www.dropbox.com/s/nywmfz2l92w2tcx/Visita%20a%20productores%20Agropecuarios.xlsx?dl=0</t>
        </r>
      </text>
    </comment>
    <comment ref="C160" authorId="0" shapeId="0" xr:uid="{600325E0-EC04-4755-BEC0-019F8E8B28BD}">
      <text>
        <r>
          <rPr>
            <b/>
            <sz val="9"/>
            <color indexed="81"/>
            <rFont val="Tahoma"/>
            <family val="2"/>
          </rPr>
          <t>Juliana:</t>
        </r>
        <r>
          <rPr>
            <sz val="9"/>
            <color indexed="81"/>
            <rFont val="Tahoma"/>
            <family val="2"/>
          </rPr>
          <t xml:space="preserve">
tomado de estudio de caracterización de residuos en Belén 2020. Fig 6 y 7.
https://www.dropbox.com/s/w86y7hte63m787n/Informe%20estudio%20de%20caracterizaci%C3%B3n%20de%20residuos%20Bel%C3%A9n%202020.pdf?dl=0 </t>
        </r>
      </text>
    </comment>
    <comment ref="D160" authorId="0" shapeId="0" xr:uid="{B67FD205-A475-4363-89E9-6DB3408B14FE}">
      <text>
        <r>
          <rPr>
            <b/>
            <sz val="9"/>
            <color indexed="81"/>
            <rFont val="Tahoma"/>
            <family val="2"/>
          </rPr>
          <t>Juliana:</t>
        </r>
        <r>
          <rPr>
            <sz val="9"/>
            <color indexed="81"/>
            <rFont val="Tahoma"/>
            <family val="2"/>
          </rPr>
          <t xml:space="preserve">
Datos tomado del cuadro 2.4, V5, Ch2, IPCC, 2006
https://www.dropbox.com/s/15p63k7pfmpgrym/V5_2_Ch2_Waste_Data.pdf?dl=0</t>
        </r>
      </text>
    </comment>
    <comment ref="C174" authorId="0" shapeId="0" xr:uid="{ABD1D742-AFB3-467B-B31E-7DBE00DC956D}">
      <text>
        <r>
          <rPr>
            <b/>
            <sz val="9"/>
            <color indexed="81"/>
            <rFont val="Tahoma"/>
            <family val="2"/>
          </rPr>
          <t>Juliana:</t>
        </r>
        <r>
          <rPr>
            <sz val="9"/>
            <color indexed="81"/>
            <rFont val="Tahoma"/>
            <family val="2"/>
          </rPr>
          <t xml:space="preserve">
Tomado de IPCC, V5, Ch3, 2019, cuadro 3.0. Se selecciona Bulk waste al no tener conocimiento sobre la composición real de los residuos enterrados.</t>
        </r>
      </text>
    </comment>
    <comment ref="C175" authorId="0" shapeId="0" xr:uid="{DF36B594-195A-4A8F-A5C0-DFEB133C8FD3}">
      <text>
        <r>
          <rPr>
            <b/>
            <sz val="9"/>
            <color indexed="81"/>
            <rFont val="Tahoma"/>
            <family val="2"/>
          </rPr>
          <t>Juliana:</t>
        </r>
        <r>
          <rPr>
            <sz val="9"/>
            <color indexed="81"/>
            <rFont val="Tahoma"/>
            <family val="2"/>
          </rPr>
          <t xml:space="preserve">
Tomado de IPCC 2019, V5, Ch3, cuadro 3.1. Sin gestionamiento, poco profundo según recomendación de guía de implementación, pág 72</t>
        </r>
      </text>
    </comment>
    <comment ref="B181" authorId="0" shapeId="0" xr:uid="{12886CD8-0BFB-4AA3-8421-E186726913BA}">
      <text>
        <r>
          <rPr>
            <b/>
            <sz val="9"/>
            <color indexed="81"/>
            <rFont val="Tahoma"/>
            <family val="2"/>
          </rPr>
          <t>Juliana:</t>
        </r>
        <r>
          <rPr>
            <sz val="9"/>
            <color indexed="81"/>
            <rFont val="Tahoma"/>
            <family val="2"/>
          </rPr>
          <t xml:space="preserve">
Tomado del IPCC 2019, volumen 5, Ch3, pág 14</t>
        </r>
      </text>
    </comment>
    <comment ref="B187" authorId="0" shapeId="0" xr:uid="{F1FB82B5-ED8F-4217-8B0D-940E4AA12089}">
      <text>
        <r>
          <rPr>
            <b/>
            <sz val="9"/>
            <color indexed="81"/>
            <rFont val="Tahoma"/>
            <family val="2"/>
          </rPr>
          <t>Juliana:</t>
        </r>
        <r>
          <rPr>
            <sz val="9"/>
            <color indexed="81"/>
            <rFont val="Tahoma"/>
            <family val="2"/>
          </rPr>
          <t xml:space="preserve">
https://www.dropbox.com/sh/f1lrrgxd4eiboua/AABzjXOl55QOQfls03kgKBJVa?dl=0</t>
        </r>
      </text>
    </comment>
    <comment ref="B190" authorId="0" shapeId="0" xr:uid="{A2652801-3B9A-4CE7-B633-0DADD6775CD8}">
      <text>
        <r>
          <rPr>
            <b/>
            <sz val="9"/>
            <color indexed="81"/>
            <rFont val="Tahoma"/>
            <family val="2"/>
          </rPr>
          <t>Juliana:</t>
        </r>
        <r>
          <rPr>
            <sz val="9"/>
            <color indexed="81"/>
            <rFont val="Tahoma"/>
            <family val="2"/>
          </rPr>
          <t xml:space="preserve">
Filtrados por CIIU</t>
        </r>
      </text>
    </comment>
    <comment ref="O190" authorId="0" shapeId="0" xr:uid="{6CD2EC2E-50B5-4696-8E9D-09D631E2F158}">
      <text>
        <r>
          <rPr>
            <b/>
            <sz val="9"/>
            <color indexed="81"/>
            <rFont val="Tahoma"/>
            <family val="2"/>
          </rPr>
          <t>Juliana:</t>
        </r>
        <r>
          <rPr>
            <sz val="9"/>
            <color indexed="81"/>
            <rFont val="Tahoma"/>
            <family val="2"/>
          </rPr>
          <t xml:space="preserve">
Tomado de (Tabla 6.6 B) IPCC 2019, v5, Ch 6. para tratamientos primarios, secundarios y terciarios</t>
        </r>
      </text>
    </comment>
    <comment ref="N209" authorId="0" shapeId="0" xr:uid="{D5D6248B-923F-4F60-8EEE-B015780020B0}">
      <text>
        <r>
          <rPr>
            <b/>
            <sz val="9"/>
            <color indexed="81"/>
            <rFont val="Tahoma"/>
            <family val="2"/>
          </rPr>
          <t>Juliana:</t>
        </r>
        <r>
          <rPr>
            <sz val="9"/>
            <color indexed="81"/>
            <rFont val="Tahoma"/>
            <family val="2"/>
          </rPr>
          <t xml:space="preserve">
Se restan aquellos que tienen reúso ya que las aguas finales no vierten a un cuerpo receptor</t>
        </r>
      </text>
    </comment>
    <comment ref="B214" authorId="0" shapeId="0" xr:uid="{3E15178A-924A-490C-B7A2-93621209A8A4}">
      <text>
        <r>
          <rPr>
            <b/>
            <sz val="9"/>
            <color indexed="81"/>
            <rFont val="Tahoma"/>
            <family val="2"/>
          </rPr>
          <t>Juliana:</t>
        </r>
        <r>
          <rPr>
            <sz val="9"/>
            <color indexed="81"/>
            <rFont val="Tahoma"/>
            <family val="2"/>
          </rPr>
          <t xml:space="preserve">
Filtrados por CIIU</t>
        </r>
      </text>
    </comment>
    <comment ref="O214" authorId="0" shapeId="0" xr:uid="{7A34555E-14EA-489D-9D3E-F224D253C905}">
      <text>
        <r>
          <rPr>
            <b/>
            <sz val="9"/>
            <color indexed="81"/>
            <rFont val="Tahoma"/>
            <family val="2"/>
          </rPr>
          <t>Juliana:</t>
        </r>
        <r>
          <rPr>
            <sz val="9"/>
            <color indexed="81"/>
            <rFont val="Tahoma"/>
            <family val="2"/>
          </rPr>
          <t xml:space="preserve">
Tomado de (Tabla 6.6 B) IPCC 2019, v5, Ch 6. para tratamientos primarios, secundarios y terciarios</t>
        </r>
      </text>
    </comment>
    <comment ref="N224" authorId="0" shapeId="0" xr:uid="{F1BD15DD-D85B-4E96-B078-3FD88100E6C3}">
      <text>
        <r>
          <rPr>
            <b/>
            <sz val="9"/>
            <color indexed="81"/>
            <rFont val="Tahoma"/>
            <family val="2"/>
          </rPr>
          <t>Juliana:</t>
        </r>
        <r>
          <rPr>
            <sz val="9"/>
            <color indexed="81"/>
            <rFont val="Tahoma"/>
            <family val="2"/>
          </rPr>
          <t xml:space="preserve">
Se restan aquellos que tienen reúso ya que las aguas finales no vierten a un cuerpo receptor</t>
        </r>
      </text>
    </comment>
    <comment ref="B229" authorId="0" shapeId="0" xr:uid="{44A074F6-B38D-4F0B-ADD0-23E8CA78AB07}">
      <text>
        <r>
          <rPr>
            <b/>
            <sz val="9"/>
            <color indexed="81"/>
            <rFont val="Tahoma"/>
            <family val="2"/>
          </rPr>
          <t>Juliana:</t>
        </r>
        <r>
          <rPr>
            <sz val="9"/>
            <color indexed="81"/>
            <rFont val="Tahoma"/>
            <family val="2"/>
          </rPr>
          <t xml:space="preserve">
Filtrados por CIIU</t>
        </r>
      </text>
    </comment>
    <comment ref="O229" authorId="0" shapeId="0" xr:uid="{7EE30247-3465-4E1F-B532-D712573B6DA5}">
      <text>
        <r>
          <rPr>
            <b/>
            <sz val="9"/>
            <color indexed="81"/>
            <rFont val="Tahoma"/>
            <family val="2"/>
          </rPr>
          <t>Juliana:</t>
        </r>
        <r>
          <rPr>
            <sz val="9"/>
            <color indexed="81"/>
            <rFont val="Tahoma"/>
            <family val="2"/>
          </rPr>
          <t xml:space="preserve">
Tomado de (Tabla 6.6 B) IPCC 2019, v5, Ch 6. para tratamientos primarios, secundarios y terciarios</t>
        </r>
      </text>
    </comment>
    <comment ref="N248" authorId="0" shapeId="0" xr:uid="{5EFBC0F1-AB10-46A1-9E3F-F6537DC12398}">
      <text>
        <r>
          <rPr>
            <b/>
            <sz val="9"/>
            <color indexed="81"/>
            <rFont val="Tahoma"/>
            <family val="2"/>
          </rPr>
          <t>Juliana:</t>
        </r>
        <r>
          <rPr>
            <sz val="9"/>
            <color indexed="81"/>
            <rFont val="Tahoma"/>
            <family val="2"/>
          </rPr>
          <t xml:space="preserve">
Se restan aquellos que tienen reúso ya que las aguas finales no vierten a un cuerpo receptor</t>
        </r>
      </text>
    </comment>
    <comment ref="B251" authorId="0" shapeId="0" xr:uid="{FE84534B-0246-4939-BEE0-DE7DEF60F227}">
      <text>
        <r>
          <rPr>
            <b/>
            <sz val="9"/>
            <color indexed="81"/>
            <rFont val="Tahoma"/>
            <family val="2"/>
          </rPr>
          <t>Juliana:</t>
        </r>
        <r>
          <rPr>
            <sz val="9"/>
            <color indexed="81"/>
            <rFont val="Tahoma"/>
            <family val="2"/>
          </rPr>
          <t xml:space="preserve">
https://www.dropbox.com/sh/f1lrrgxd4eiboua/AABzjXOl55QOQfls03kgKBJVa?dl=0</t>
        </r>
      </text>
    </comment>
    <comment ref="D255" authorId="0" shapeId="0" xr:uid="{C552C05F-72C3-405C-958A-F2DE61BB6281}">
      <text>
        <r>
          <rPr>
            <b/>
            <sz val="9"/>
            <color indexed="81"/>
            <rFont val="Tahoma"/>
            <family val="2"/>
          </rPr>
          <t>Juliana:</t>
        </r>
        <r>
          <rPr>
            <sz val="9"/>
            <color indexed="81"/>
            <rFont val="Tahoma"/>
            <family val="2"/>
          </rPr>
          <t xml:space="preserve">
Se asume que los sistemas que mencionan ser domésticos corresponden a PTAR residenciales</t>
        </r>
      </text>
    </comment>
    <comment ref="D256" authorId="0" shapeId="0" xr:uid="{43A1AB52-E834-4EB3-B41B-D6D3422B9C7D}">
      <text>
        <r>
          <rPr>
            <b/>
            <sz val="9"/>
            <color indexed="81"/>
            <rFont val="Tahoma"/>
            <family val="2"/>
          </rPr>
          <t>Juliana:</t>
        </r>
        <r>
          <rPr>
            <sz val="9"/>
            <color indexed="81"/>
            <rFont val="Tahoma"/>
            <family val="2"/>
          </rPr>
          <t xml:space="preserve">
Dato tomado de encuesta a hogares</t>
        </r>
      </text>
    </comment>
    <comment ref="D257" authorId="0" shapeId="0" xr:uid="{0A959BE1-40ED-4E5F-B588-6FB23F6E27E9}">
      <text>
        <r>
          <rPr>
            <b/>
            <sz val="9"/>
            <color indexed="81"/>
            <rFont val="Tahoma"/>
            <family val="2"/>
          </rPr>
          <t>Juliana:</t>
        </r>
        <r>
          <rPr>
            <sz val="9"/>
            <color indexed="81"/>
            <rFont val="Tahoma"/>
            <family val="2"/>
          </rPr>
          <t xml:space="preserve">
Dato tomado de encuesta a hogares</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Juliana</author>
  </authors>
  <commentList>
    <comment ref="B7" authorId="0" shapeId="0" xr:uid="{7D2DAB49-D7C0-4D27-8592-57DEF6BD3146}">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B11" authorId="0" shapeId="0" xr:uid="{A881692E-9DB6-457B-B5AA-A8AA296CDE5C}">
      <text>
        <r>
          <rPr>
            <b/>
            <sz val="9"/>
            <color indexed="81"/>
            <rFont val="Tahoma"/>
            <family val="2"/>
          </rPr>
          <t>Juliana:</t>
        </r>
        <r>
          <rPr>
            <sz val="9"/>
            <color indexed="81"/>
            <rFont val="Tahoma"/>
            <family val="2"/>
          </rPr>
          <t xml:space="preserve">
Origen de los datos en Sistematización de encuestas: https://www.dropbox.com/s/2fccrtf84w6xpie/BIOMATEC-BEL%C3%89N-Sistematizaci%C3%B3n%20de%20Industrias.xlsx?dl=0</t>
        </r>
      </text>
    </comment>
    <comment ref="B18" authorId="0" shapeId="0" xr:uid="{F294B1E2-AA6C-4749-917C-B34E80D696F6}">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I21" authorId="0" shapeId="0" xr:uid="{5B7F3A74-DEBA-478A-BA39-CF7B3D2C8430}">
      <text>
        <r>
          <rPr>
            <b/>
            <sz val="9"/>
            <color indexed="81"/>
            <rFont val="Tahoma"/>
            <family val="2"/>
          </rPr>
          <t>Juliana:</t>
        </r>
        <r>
          <rPr>
            <sz val="9"/>
            <color indexed="81"/>
            <rFont val="Tahoma"/>
            <family val="2"/>
          </rPr>
          <t xml:space="preserve">
Obtenido en diagnóstico municipal.
https://www.dropbox.com/s/ojy9jna429ggaq5/Tama%C3%B1o%20Muestra_Encuestas%20Bel%C3%A9n.xlsx?dl=0</t>
        </r>
      </text>
    </comment>
    <comment ref="B25" authorId="0" shapeId="0" xr:uid="{DDE46A72-1416-4E4F-BD3E-551201FAE18D}">
      <text>
        <r>
          <rPr>
            <b/>
            <sz val="9"/>
            <color indexed="81"/>
            <rFont val="Tahoma"/>
            <family val="2"/>
          </rPr>
          <t>Juliana:</t>
        </r>
        <r>
          <rPr>
            <sz val="9"/>
            <color indexed="81"/>
            <rFont val="Tahoma"/>
            <family val="2"/>
          </rPr>
          <t xml:space="preserve">
Información tomada del inventario GEI para AC y refrigeración en CR (2012-2016) pág. 38</t>
        </r>
      </text>
    </comment>
    <comment ref="B26" authorId="0" shapeId="0" xr:uid="{FC74C891-6DB6-4CCE-9B83-2BBD0D2628F2}">
      <text>
        <r>
          <rPr>
            <b/>
            <sz val="9"/>
            <color indexed="81"/>
            <rFont val="Tahoma"/>
            <family val="2"/>
          </rPr>
          <t>Juliana:</t>
        </r>
        <r>
          <rPr>
            <sz val="9"/>
            <color indexed="81"/>
            <rFont val="Tahoma"/>
            <family val="2"/>
          </rPr>
          <t xml:space="preserve">
Distribución obtenida de encuesta a hogares</t>
        </r>
      </text>
    </comment>
    <comment ref="E26" authorId="0" shapeId="0" xr:uid="{14532F3C-F50A-4A15-91FC-5BF10367B165}">
      <text>
        <r>
          <rPr>
            <b/>
            <sz val="9"/>
            <color indexed="81"/>
            <rFont val="Tahoma"/>
            <family val="2"/>
          </rPr>
          <t>Juliana:</t>
        </r>
        <r>
          <rPr>
            <sz val="9"/>
            <color indexed="81"/>
            <rFont val="Tahoma"/>
            <family val="2"/>
          </rPr>
          <t xml:space="preserve">
Dato tomado del inventario de GEI de Refrigeración y AC para CR (2012-2016), Tabla 5, pág. 33, para equipos de A/A Tipo Split sin ducto. Se selecciona este tipo de equipo al ser el más común en CR.</t>
        </r>
      </text>
    </comment>
    <comment ref="G26" authorId="0" shapeId="0" xr:uid="{09A17C96-29A8-44F7-9DB7-82D3AE322F60}">
      <text>
        <r>
          <rPr>
            <b/>
            <sz val="9"/>
            <color indexed="81"/>
            <rFont val="Tahoma"/>
            <family val="2"/>
          </rPr>
          <t>Juliana:</t>
        </r>
        <r>
          <rPr>
            <sz val="9"/>
            <color indexed="81"/>
            <rFont val="Tahoma"/>
            <family val="2"/>
          </rPr>
          <t xml:space="preserve">
Dato tomado del inventario de GEI de Refrigeración y AC para CR (2012-2016), Tabla 5, pág. 33, para equipos de A/A Tipo Split</t>
        </r>
      </text>
    </comment>
    <comment ref="I27" authorId="0" shapeId="0" xr:uid="{2997CA96-8E55-4D2C-9C8D-5D2AFF50BA21}">
      <text>
        <r>
          <rPr>
            <b/>
            <sz val="9"/>
            <color indexed="81"/>
            <rFont val="Tahoma"/>
            <family val="2"/>
          </rPr>
          <t>Juliana:</t>
        </r>
        <r>
          <rPr>
            <sz val="9"/>
            <color indexed="81"/>
            <rFont val="Tahoma"/>
            <family val="2"/>
          </rPr>
          <t xml:space="preserve">
Valor medio entre 0.2 y 1 %. Rango indicado por el IPCC</t>
        </r>
      </text>
    </comment>
    <comment ref="B32" authorId="0" shapeId="0" xr:uid="{00CB77AF-E99F-481A-B7C4-F2204830C6AF}">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I35" authorId="0" shapeId="0" xr:uid="{726FCD75-64D4-4DCA-8F7F-881F388A770F}">
      <text>
        <r>
          <rPr>
            <b/>
            <sz val="9"/>
            <color indexed="81"/>
            <rFont val="Tahoma"/>
            <family val="2"/>
          </rPr>
          <t>Juliana:</t>
        </r>
        <r>
          <rPr>
            <sz val="9"/>
            <color indexed="81"/>
            <rFont val="Tahoma"/>
            <family val="2"/>
          </rPr>
          <t xml:space="preserve">
Fuente: Registro de patentes municipal y lista de instituciones
https://www.dropbox.com/s/ojy9jna429ggaq5/Tama%C3%B1o%20Muestra_Encuestas%20Bel%C3%A9n.xlsx?dl=0</t>
        </r>
      </text>
    </comment>
    <comment ref="B39" authorId="0" shapeId="0" xr:uid="{B9038E02-3D14-48D4-8BB8-05EAEE54413D}">
      <text>
        <r>
          <rPr>
            <b/>
            <sz val="9"/>
            <color indexed="81"/>
            <rFont val="Tahoma"/>
            <family val="2"/>
          </rPr>
          <t>Juliana:</t>
        </r>
        <r>
          <rPr>
            <sz val="9"/>
            <color indexed="81"/>
            <rFont val="Tahoma"/>
            <family val="2"/>
          </rPr>
          <t xml:space="preserve">
Información tomada del inventario GEI para AC y refrigeración en CR (2012-2016) pág. 38</t>
        </r>
      </text>
    </comment>
    <comment ref="B40" authorId="0" shapeId="0" xr:uid="{0671B86D-6EBB-4BF2-9876-67D127B7661E}">
      <text>
        <r>
          <rPr>
            <b/>
            <sz val="9"/>
            <color indexed="81"/>
            <rFont val="Tahoma"/>
            <family val="2"/>
          </rPr>
          <t>Juliana:</t>
        </r>
        <r>
          <rPr>
            <sz val="9"/>
            <color indexed="81"/>
            <rFont val="Tahoma"/>
            <family val="2"/>
          </rPr>
          <t xml:space="preserve">
Refrigerantes obtenidos a partir de encuesta a comercios e instituciones </t>
        </r>
      </text>
    </comment>
    <comment ref="C40" authorId="0" shapeId="0" xr:uid="{A2AE77B0-793A-4177-B8F5-DE358DE6BE97}">
      <text>
        <r>
          <rPr>
            <b/>
            <sz val="9"/>
            <color indexed="81"/>
            <rFont val="Tahoma"/>
            <family val="2"/>
          </rPr>
          <t>Juliana:</t>
        </r>
        <r>
          <rPr>
            <sz val="9"/>
            <color indexed="81"/>
            <rFont val="Tahoma"/>
            <family val="2"/>
          </rPr>
          <t xml:space="preserve">
Distribución obtenida de encuestas a comercios</t>
        </r>
      </text>
    </comment>
    <comment ref="E40" authorId="0" shapeId="0" xr:uid="{84371A9E-B844-4F0C-BDCF-22B426D64330}">
      <text>
        <r>
          <rPr>
            <b/>
            <sz val="9"/>
            <color indexed="81"/>
            <rFont val="Tahoma"/>
            <family val="2"/>
          </rPr>
          <t>Juliana:</t>
        </r>
        <r>
          <rPr>
            <sz val="9"/>
            <color indexed="81"/>
            <rFont val="Tahoma"/>
            <family val="2"/>
          </rPr>
          <t xml:space="preserve">
Dato tomado del inventario de GEI de Refrigeración y AC para CR (2012-2016), Tabla 5, pág. 33, para equipos de A/A Tipo Split sin ducto. Se selecciona este tipo de equipo al ser el más común en CR.</t>
        </r>
      </text>
    </comment>
    <comment ref="G40" authorId="0" shapeId="0" xr:uid="{EFF84A12-3760-4461-8A8C-EB245A4D219A}">
      <text>
        <r>
          <rPr>
            <b/>
            <sz val="9"/>
            <color indexed="81"/>
            <rFont val="Tahoma"/>
            <family val="2"/>
          </rPr>
          <t>Juliana:</t>
        </r>
        <r>
          <rPr>
            <sz val="9"/>
            <color indexed="81"/>
            <rFont val="Tahoma"/>
            <family val="2"/>
          </rPr>
          <t xml:space="preserve">
Dato tomado del inventario de GEI de Refrigeración y AC para CR (2012-2016), Tabla 5, pág. 33, para equipos de A/A Tipo Split</t>
        </r>
      </text>
    </comment>
    <comment ref="I41" authorId="0" shapeId="0" xr:uid="{57108C0A-E399-41F3-8C6C-5BF7D379334C}">
      <text>
        <r>
          <rPr>
            <b/>
            <sz val="9"/>
            <color indexed="81"/>
            <rFont val="Tahoma"/>
            <family val="2"/>
          </rPr>
          <t>Juliana:</t>
        </r>
        <r>
          <rPr>
            <sz val="9"/>
            <color indexed="81"/>
            <rFont val="Tahoma"/>
            <family val="2"/>
          </rPr>
          <t xml:space="preserve">
Valor medio entre 0.2 y 1 %. Rango indicado por el IPCC</t>
        </r>
      </text>
    </comment>
    <comment ref="B59" authorId="0" shapeId="0" xr:uid="{70F01E1B-3727-4574-AA33-1951FA763FA5}">
      <text>
        <r>
          <rPr>
            <b/>
            <sz val="9"/>
            <color indexed="81"/>
            <rFont val="Tahoma"/>
            <family val="2"/>
          </rPr>
          <t>Juliana:</t>
        </r>
        <r>
          <rPr>
            <sz val="9"/>
            <color indexed="81"/>
            <rFont val="Tahoma"/>
            <family val="2"/>
          </rPr>
          <t xml:space="preserve">
Origen de los datos en Sistematización de encuestas: https://www.dropbox.com/s/2fccrtf84w6xpie/BIOMATEC-BEL%C3%89N-Sistematizaci%C3%B3n%20de%20Industrias.xlsx?dl=0</t>
        </r>
      </text>
    </comment>
    <comment ref="I62" authorId="0" shapeId="0" xr:uid="{09571395-1B53-4030-982F-15F1B5D3E909}">
      <text>
        <r>
          <rPr>
            <b/>
            <sz val="9"/>
            <color indexed="81"/>
            <rFont val="Tahoma"/>
            <family val="2"/>
          </rPr>
          <t>Juliana:</t>
        </r>
        <r>
          <rPr>
            <sz val="9"/>
            <color indexed="81"/>
            <rFont val="Tahoma"/>
            <family val="2"/>
          </rPr>
          <t xml:space="preserve">
Obtenido de patentes comerciales e industriales.
https://www.dropbox.com/s/1ts6h29kt8ko25y/Bel%C3%A9n_listado%20de%20patentes%202022.xlsx?dl=0</t>
        </r>
      </text>
    </comment>
    <comment ref="B66" authorId="0" shapeId="0" xr:uid="{CCBFEF76-55D3-4A37-9764-E92FDDE3B626}">
      <text>
        <r>
          <rPr>
            <b/>
            <sz val="9"/>
            <color indexed="81"/>
            <rFont val="Tahoma"/>
            <family val="2"/>
          </rPr>
          <t>Juliana:</t>
        </r>
        <r>
          <rPr>
            <sz val="9"/>
            <color indexed="81"/>
            <rFont val="Tahoma"/>
            <family val="2"/>
          </rPr>
          <t xml:space="preserve">
Información tomada del inventario GEI para AC y refrigeración en CR (2012-2016) pág. 38</t>
        </r>
      </text>
    </comment>
    <comment ref="B67" authorId="0" shapeId="0" xr:uid="{BF8671D7-B0E5-4983-8CF2-7D9D50B2051B}">
      <text>
        <r>
          <rPr>
            <b/>
            <sz val="9"/>
            <color indexed="81"/>
            <rFont val="Tahoma"/>
            <family val="2"/>
          </rPr>
          <t>Juliana:</t>
        </r>
        <r>
          <rPr>
            <sz val="9"/>
            <color indexed="81"/>
            <rFont val="Tahoma"/>
            <family val="2"/>
          </rPr>
          <t xml:space="preserve">
Refrigerantes obtenidos a partir de encuesta a comercios e instituciones </t>
        </r>
      </text>
    </comment>
    <comment ref="C67" authorId="0" shapeId="0" xr:uid="{C8164D86-CA0F-4EFD-9E96-5F0D59A81E08}">
      <text>
        <r>
          <rPr>
            <b/>
            <sz val="9"/>
            <color indexed="81"/>
            <rFont val="Tahoma"/>
            <family val="2"/>
          </rPr>
          <t>Juliana:</t>
        </r>
        <r>
          <rPr>
            <sz val="9"/>
            <color indexed="81"/>
            <rFont val="Tahoma"/>
            <family val="2"/>
          </rPr>
          <t xml:space="preserve">
Distribución obtenida de encuestas a comercios</t>
        </r>
      </text>
    </comment>
    <comment ref="E67" authorId="0" shapeId="0" xr:uid="{6D7EDEA0-AE0C-4A72-A37C-2D8EA408650B}">
      <text>
        <r>
          <rPr>
            <b/>
            <sz val="9"/>
            <color indexed="81"/>
            <rFont val="Tahoma"/>
            <family val="2"/>
          </rPr>
          <t>Juliana:</t>
        </r>
        <r>
          <rPr>
            <sz val="9"/>
            <color indexed="81"/>
            <rFont val="Tahoma"/>
            <family val="2"/>
          </rPr>
          <t xml:space="preserve">
Dato tomado del inventario de GEI de Refrigeración y AC para CR (2012-2016), Tabla 5, pág. 33, para equipos de A/A Tipo Split sin ducto. Se selecciona este tipo de equipo al ser el más común en CR.</t>
        </r>
      </text>
    </comment>
    <comment ref="G67" authorId="0" shapeId="0" xr:uid="{FCBD558E-3573-4157-9B41-AB86DC12A0C1}">
      <text>
        <r>
          <rPr>
            <b/>
            <sz val="9"/>
            <color indexed="81"/>
            <rFont val="Tahoma"/>
            <family val="2"/>
          </rPr>
          <t>Juliana:</t>
        </r>
        <r>
          <rPr>
            <sz val="9"/>
            <color indexed="81"/>
            <rFont val="Tahoma"/>
            <family val="2"/>
          </rPr>
          <t xml:space="preserve">
Dato tomado del inventario de GEI de Refrigeración y AC para CR (2012-2016), Tabla 5, pág. 33, para equipos de A/A Tipo Split</t>
        </r>
      </text>
    </comment>
    <comment ref="I68" authorId="0" shapeId="0" xr:uid="{44BC4A44-F453-4044-B8F3-4F6BB2D02C06}">
      <text>
        <r>
          <rPr>
            <b/>
            <sz val="9"/>
            <color indexed="81"/>
            <rFont val="Tahoma"/>
            <family val="2"/>
          </rPr>
          <t>Juliana:</t>
        </r>
        <r>
          <rPr>
            <sz val="9"/>
            <color indexed="81"/>
            <rFont val="Tahoma"/>
            <family val="2"/>
          </rPr>
          <t xml:space="preserve">
Valor medio entre 0.2 y 1 %. Rango indicado por el IPCC</t>
        </r>
      </text>
    </comment>
    <comment ref="I96" authorId="0" shapeId="0" xr:uid="{9AE80A4F-D4CD-4901-9889-21AAF59F73C5}">
      <text>
        <r>
          <rPr>
            <b/>
            <sz val="9"/>
            <color indexed="81"/>
            <rFont val="Tahoma"/>
            <family val="2"/>
          </rPr>
          <t>Juliana:</t>
        </r>
        <r>
          <rPr>
            <sz val="9"/>
            <color indexed="81"/>
            <rFont val="Tahoma"/>
            <family val="2"/>
          </rPr>
          <t xml:space="preserve">
Obtenido de patentes comerciales e industriales.
https://www.dropbox.com/s/1ts6h29kt8ko25y/Bel%C3%A9n_listado%20de%20patentes%202022.xlsx?dl=0</t>
        </r>
      </text>
    </comment>
    <comment ref="B100" authorId="0" shapeId="0" xr:uid="{3079ECD2-034E-4CD3-B547-CBCA2810705B}">
      <text>
        <r>
          <rPr>
            <b/>
            <sz val="9"/>
            <color indexed="81"/>
            <rFont val="Tahoma"/>
            <family val="2"/>
          </rPr>
          <t>Juliana:</t>
        </r>
        <r>
          <rPr>
            <sz val="9"/>
            <color indexed="81"/>
            <rFont val="Tahoma"/>
            <family val="2"/>
          </rPr>
          <t xml:space="preserve">
Información tomada del inventario GEI para AC y refrigeración en CR (2012-2016) pág. 38</t>
        </r>
      </text>
    </comment>
    <comment ref="B101" authorId="0" shapeId="0" xr:uid="{662735BD-9213-4A4F-9E74-8E7847603384}">
      <text>
        <r>
          <rPr>
            <b/>
            <sz val="9"/>
            <color indexed="81"/>
            <rFont val="Tahoma"/>
            <family val="2"/>
          </rPr>
          <t>Juliana:</t>
        </r>
        <r>
          <rPr>
            <sz val="9"/>
            <color indexed="81"/>
            <rFont val="Tahoma"/>
            <family val="2"/>
          </rPr>
          <t xml:space="preserve">
Refrigerantes obtenidos a partir de encuesta a comercios e instituciones </t>
        </r>
      </text>
    </comment>
    <comment ref="C101" authorId="0" shapeId="0" xr:uid="{C3EDAB5A-F156-48B0-B964-34D4F17776B7}">
      <text>
        <r>
          <rPr>
            <b/>
            <sz val="9"/>
            <color indexed="81"/>
            <rFont val="Tahoma"/>
            <family val="2"/>
          </rPr>
          <t>Juliana:</t>
        </r>
        <r>
          <rPr>
            <sz val="9"/>
            <color indexed="81"/>
            <rFont val="Tahoma"/>
            <family val="2"/>
          </rPr>
          <t xml:space="preserve">
Distribución obtenida de encuestas a comercios</t>
        </r>
      </text>
    </comment>
    <comment ref="E101" authorId="0" shapeId="0" xr:uid="{BBA90DC8-67B3-4563-9BBE-897B56C21AC2}">
      <text>
        <r>
          <rPr>
            <b/>
            <sz val="9"/>
            <color indexed="81"/>
            <rFont val="Tahoma"/>
            <family val="2"/>
          </rPr>
          <t>Juliana:</t>
        </r>
        <r>
          <rPr>
            <sz val="9"/>
            <color indexed="81"/>
            <rFont val="Tahoma"/>
            <family val="2"/>
          </rPr>
          <t xml:space="preserve">
Dato tomado del inventario de GEI de Refrigeración y AC para CR (2012-2016), Tabla 5, pág. 33, para equipos de A/A Tipo Split sin ducto. Se selecciona este tipo de equipo al ser el más común en CR.</t>
        </r>
      </text>
    </comment>
    <comment ref="G101" authorId="0" shapeId="0" xr:uid="{8EA43B09-7C49-4863-9257-904DC3DD13AA}">
      <text>
        <r>
          <rPr>
            <b/>
            <sz val="9"/>
            <color indexed="81"/>
            <rFont val="Tahoma"/>
            <family val="2"/>
          </rPr>
          <t>Juliana:</t>
        </r>
        <r>
          <rPr>
            <sz val="9"/>
            <color indexed="81"/>
            <rFont val="Tahoma"/>
            <family val="2"/>
          </rPr>
          <t xml:space="preserve">
Dato tomado del inventario de GEI de Refrigeración y AC para CR (2012-2016), Tabla 5, pág. 33, para equipos de A/A Tipo Split</t>
        </r>
      </text>
    </comment>
    <comment ref="I102" authorId="0" shapeId="0" xr:uid="{6C15791B-03C6-4C75-B02C-581D3AD6809A}">
      <text>
        <r>
          <rPr>
            <b/>
            <sz val="9"/>
            <color indexed="81"/>
            <rFont val="Tahoma"/>
            <family val="2"/>
          </rPr>
          <t>Juliana:</t>
        </r>
        <r>
          <rPr>
            <sz val="9"/>
            <color indexed="81"/>
            <rFont val="Tahoma"/>
            <family val="2"/>
          </rPr>
          <t xml:space="preserve">
Valor medio entre 0.2 y 1 %. Rango indicado por el IPCC</t>
        </r>
      </text>
    </comment>
    <comment ref="B121" authorId="0" shapeId="0" xr:uid="{C5CBFF66-16CC-4F15-8AE6-92EAD4645CDA}">
      <text>
        <r>
          <rPr>
            <b/>
            <sz val="9"/>
            <color indexed="81"/>
            <rFont val="Tahoma"/>
            <family val="2"/>
          </rPr>
          <t>Juliana:</t>
        </r>
        <r>
          <rPr>
            <sz val="9"/>
            <color indexed="81"/>
            <rFont val="Tahoma"/>
            <family val="2"/>
          </rPr>
          <t xml:space="preserve">
Se toma los refrigerantes ya que según la Tabla 5, pág 33 del inventario de GEI de Refrigeración y AC para CR (2012-2016), son los refrigerantes más comunes para los equipos de refrigeración doméstica.</t>
        </r>
      </text>
    </comment>
    <comment ref="C121" authorId="0" shapeId="0" xr:uid="{FA64F547-A1FD-47DE-9946-DAE776AB63AE}">
      <text>
        <r>
          <rPr>
            <b/>
            <sz val="9"/>
            <color indexed="81"/>
            <rFont val="Tahoma"/>
            <family val="2"/>
          </rPr>
          <t>Juliana:</t>
        </r>
        <r>
          <rPr>
            <sz val="9"/>
            <color indexed="81"/>
            <rFont val="Tahoma"/>
            <family val="2"/>
          </rPr>
          <t xml:space="preserve">
Distribución de refrigerantes utilizados según Tabla 22 del inventario GEI de Refrigeración y AC para CR (2012-2016), pág. 75</t>
        </r>
      </text>
    </comment>
    <comment ref="E121" authorId="0" shapeId="0" xr:uid="{279B0F03-4F91-498B-B1A0-FDA168E9A4AC}">
      <text>
        <r>
          <rPr>
            <b/>
            <sz val="9"/>
            <color indexed="81"/>
            <rFont val="Tahoma"/>
            <family val="2"/>
          </rPr>
          <t>Juliana:</t>
        </r>
        <r>
          <rPr>
            <sz val="9"/>
            <color indexed="81"/>
            <rFont val="Tahoma"/>
            <family val="2"/>
          </rPr>
          <t xml:space="preserve">
Dato tomado del inventario de GEI de Refrigeración y AC para CR (2012-2016), Tabla 5, pág. 33, para refrigeración doméstica</t>
        </r>
      </text>
    </comment>
    <comment ref="G121" authorId="0" shapeId="0" xr:uid="{E2D8F80D-143E-4876-A26A-4B92575BA7AB}">
      <text>
        <r>
          <rPr>
            <b/>
            <sz val="9"/>
            <color indexed="81"/>
            <rFont val="Tahoma"/>
            <family val="2"/>
          </rPr>
          <t>Juliana:</t>
        </r>
        <r>
          <rPr>
            <sz val="9"/>
            <color indexed="81"/>
            <rFont val="Tahoma"/>
            <family val="2"/>
          </rPr>
          <t xml:space="preserve">
Dato tomado del inventario de GEI de Refrigeración y AC para CR (2012-2016), Tabla 5, pág. 33, para refrigeración doméstica</t>
        </r>
      </text>
    </comment>
    <comment ref="I122" authorId="0" shapeId="0" xr:uid="{674E24EF-EC31-4AEE-A524-EFA70FBFE950}">
      <text>
        <r>
          <rPr>
            <b/>
            <sz val="9"/>
            <color indexed="81"/>
            <rFont val="Tahoma"/>
            <family val="2"/>
          </rPr>
          <t>Juliana:</t>
        </r>
        <r>
          <rPr>
            <sz val="9"/>
            <color indexed="81"/>
            <rFont val="Tahoma"/>
            <family val="2"/>
          </rPr>
          <t xml:space="preserve">
Valor medio entre 0.2 y 1 %. Rango indicado por el IPCC</t>
        </r>
      </text>
    </comment>
    <comment ref="B127" authorId="0" shapeId="0" xr:uid="{AB53614A-879B-44CF-9EE0-8431BE216975}">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I130" authorId="0" shapeId="0" xr:uid="{1D1E1470-D092-4532-88FD-618D5BF007CE}">
      <text>
        <r>
          <rPr>
            <b/>
            <sz val="9"/>
            <color indexed="81"/>
            <rFont val="Tahoma"/>
            <family val="2"/>
          </rPr>
          <t>Juliana:</t>
        </r>
        <r>
          <rPr>
            <sz val="9"/>
            <color indexed="81"/>
            <rFont val="Tahoma"/>
            <family val="2"/>
          </rPr>
          <t xml:space="preserve">
Fuente: Registro de patentes municipal y lista de instituciones
https://www.dropbox.com/s/ojy9jna429ggaq5/Tama%C3%B1o%20Muestra_Encuestas%20Bel%C3%A9n.xlsx?dl=0</t>
        </r>
      </text>
    </comment>
    <comment ref="B134" authorId="0" shapeId="0" xr:uid="{E45F4F0F-055E-4789-B619-C12D2C7CA50C}">
      <text>
        <r>
          <rPr>
            <b/>
            <sz val="9"/>
            <color indexed="81"/>
            <rFont val="Tahoma"/>
            <family val="2"/>
          </rPr>
          <t>Juliana:</t>
        </r>
        <r>
          <rPr>
            <sz val="9"/>
            <color indexed="81"/>
            <rFont val="Tahoma"/>
            <family val="2"/>
          </rPr>
          <t xml:space="preserve">
Información tomada del inventario GEI para AC y refrigeración en CR (2012-2016) pág. 38</t>
        </r>
      </text>
    </comment>
    <comment ref="B135" authorId="0" shapeId="0" xr:uid="{306BCF43-1410-417F-97AB-FE2E54B5F73D}">
      <text>
        <r>
          <rPr>
            <b/>
            <sz val="9"/>
            <color indexed="81"/>
            <rFont val="Tahoma"/>
            <family val="2"/>
          </rPr>
          <t>Juliana:</t>
        </r>
        <r>
          <rPr>
            <sz val="9"/>
            <color indexed="81"/>
            <rFont val="Tahoma"/>
            <family val="2"/>
          </rPr>
          <t xml:space="preserve">
Se toma el tipo de refrigerante del  inventario de GEI de Refrigeración y AC para CR (2012-2016), pagina 76</t>
        </r>
      </text>
    </comment>
    <comment ref="C135" authorId="0" shapeId="0" xr:uid="{4E5A2F04-0053-4BA4-9CF5-021D215764AE}">
      <text>
        <r>
          <rPr>
            <b/>
            <sz val="9"/>
            <color indexed="81"/>
            <rFont val="Tahoma"/>
            <family val="2"/>
          </rPr>
          <t>Juliana:</t>
        </r>
        <r>
          <rPr>
            <sz val="9"/>
            <color indexed="81"/>
            <rFont val="Tahoma"/>
            <family val="2"/>
          </rPr>
          <t xml:space="preserve">
Se toma la proporción de refrigerante del  inventario de GEI de Refrigeración y AC para CR (2012-2016), pagina 76, año 2020 al ser el más cercano al año de estudio</t>
        </r>
      </text>
    </comment>
    <comment ref="E135" authorId="0" shapeId="0" xr:uid="{BFD5B678-27C9-40FB-A74E-79B5700FAA56}">
      <text>
        <r>
          <rPr>
            <b/>
            <sz val="9"/>
            <color indexed="81"/>
            <rFont val="Tahoma"/>
            <family val="2"/>
          </rPr>
          <t>Juliana:</t>
        </r>
        <r>
          <rPr>
            <sz val="9"/>
            <color indexed="81"/>
            <rFont val="Tahoma"/>
            <family val="2"/>
          </rPr>
          <t xml:space="preserve">
Dato tomado del inventario de GEI de Refrigeración y AC para CR (2012-2016), Tabla 5, pág. 33</t>
        </r>
      </text>
    </comment>
    <comment ref="G135" authorId="0" shapeId="0" xr:uid="{B1B76022-3CE3-4279-9FF6-63CD629C1C9E}">
      <text>
        <r>
          <rPr>
            <b/>
            <sz val="9"/>
            <color indexed="81"/>
            <rFont val="Tahoma"/>
            <family val="2"/>
          </rPr>
          <t>Juliana:</t>
        </r>
        <r>
          <rPr>
            <sz val="9"/>
            <color indexed="81"/>
            <rFont val="Tahoma"/>
            <family val="2"/>
          </rPr>
          <t xml:space="preserve">
Dato tomado del inventario de GEI de Refrigeración y AC para CR (2012-2016), Tabla 5, pág. 33</t>
        </r>
      </text>
    </comment>
    <comment ref="I136" authorId="0" shapeId="0" xr:uid="{2B0AE740-D82C-44EE-B1E4-017697D09DC4}">
      <text>
        <r>
          <rPr>
            <b/>
            <sz val="9"/>
            <color indexed="81"/>
            <rFont val="Tahoma"/>
            <family val="2"/>
          </rPr>
          <t>Juliana:</t>
        </r>
        <r>
          <rPr>
            <sz val="9"/>
            <color indexed="81"/>
            <rFont val="Tahoma"/>
            <family val="2"/>
          </rPr>
          <t xml:space="preserve">
Valor medio entre 0.2 y 1 %. Rango indicado por el IPCC</t>
        </r>
      </text>
    </comment>
    <comment ref="I149" authorId="0" shapeId="0" xr:uid="{B07E66E7-A41B-436B-B497-D8E627C38232}">
      <text>
        <r>
          <rPr>
            <b/>
            <sz val="9"/>
            <color indexed="81"/>
            <rFont val="Tahoma"/>
            <family val="2"/>
          </rPr>
          <t>Juliana:</t>
        </r>
        <r>
          <rPr>
            <sz val="9"/>
            <color indexed="81"/>
            <rFont val="Tahoma"/>
            <family val="2"/>
          </rPr>
          <t xml:space="preserve">
Fuente: Registro de patentes municipal y lista de instituciones
https://www.dropbox.com/s/ojy9jna429ggaq5/Tama%C3%B1o%20Muestra_Encuestas%20Bel%C3%A9n.xlsx?dl=0</t>
        </r>
      </text>
    </comment>
    <comment ref="B154" authorId="0" shapeId="0" xr:uid="{9DA872FB-B050-43B9-A718-149E05086C60}">
      <text>
        <r>
          <rPr>
            <b/>
            <sz val="9"/>
            <color indexed="81"/>
            <rFont val="Tahoma"/>
            <family val="2"/>
          </rPr>
          <t>Juliana:</t>
        </r>
        <r>
          <rPr>
            <sz val="9"/>
            <color indexed="81"/>
            <rFont val="Tahoma"/>
            <family val="2"/>
          </rPr>
          <t xml:space="preserve">
Identificado en encuestas a comercios</t>
        </r>
      </text>
    </comment>
    <comment ref="C154" authorId="0" shapeId="0" xr:uid="{B3CBFF44-FE05-45B7-846B-5AE5191F8BA2}">
      <text>
        <r>
          <rPr>
            <b/>
            <sz val="9"/>
            <color indexed="81"/>
            <rFont val="Tahoma"/>
            <family val="2"/>
          </rPr>
          <t>Juliana:</t>
        </r>
        <r>
          <rPr>
            <sz val="9"/>
            <color indexed="81"/>
            <rFont val="Tahoma"/>
            <family val="2"/>
          </rPr>
          <t xml:space="preserve">
Distribución obtenida de encuestas a comercios</t>
        </r>
      </text>
    </comment>
    <comment ref="E154" authorId="0" shapeId="0" xr:uid="{3E8CFE67-0402-4CE9-BDFA-DC3E43975B6C}">
      <text>
        <r>
          <rPr>
            <b/>
            <sz val="9"/>
            <color indexed="81"/>
            <rFont val="Tahoma"/>
            <family val="2"/>
          </rPr>
          <t>Juliana:</t>
        </r>
        <r>
          <rPr>
            <sz val="9"/>
            <color indexed="81"/>
            <rFont val="Tahoma"/>
            <family val="2"/>
          </rPr>
          <t xml:space="preserve">
Dato tomado del inventario de GEI de Refrigeración y AC para CR (2012-2016), Tabla 5, pág. 33. Se toma un promedio entre la carga de equipos autónomos (congeladores y enfriadores) de 0.59 y la de refrigeradores de 0.102. Proporción de equipos se toma de encuestas</t>
        </r>
      </text>
    </comment>
    <comment ref="G154" authorId="0" shapeId="0" xr:uid="{7D23A0E1-404B-4CA4-9533-0982851811A4}">
      <text>
        <r>
          <rPr>
            <b/>
            <sz val="9"/>
            <color indexed="81"/>
            <rFont val="Tahoma"/>
            <family val="2"/>
          </rPr>
          <t>Juliana:</t>
        </r>
        <r>
          <rPr>
            <sz val="9"/>
            <color indexed="81"/>
            <rFont val="Tahoma"/>
            <family val="2"/>
          </rPr>
          <t xml:space="preserve">
Dato tomado del inventario de GEI de Refrigeración y AC para CR (2012-2016), Tabla 5, pág. 33</t>
        </r>
      </text>
    </comment>
    <comment ref="I155" authorId="0" shapeId="0" xr:uid="{041CC3C5-08C3-4EAF-A993-F77C34321393}">
      <text>
        <r>
          <rPr>
            <b/>
            <sz val="9"/>
            <color indexed="81"/>
            <rFont val="Tahoma"/>
            <family val="2"/>
          </rPr>
          <t>Juliana:</t>
        </r>
        <r>
          <rPr>
            <sz val="9"/>
            <color indexed="81"/>
            <rFont val="Tahoma"/>
            <family val="2"/>
          </rPr>
          <t xml:space="preserve">
Valor medio entre 0.2 y 1 %. Rango indicado por el IPCC</t>
        </r>
      </text>
    </comment>
    <comment ref="B165" authorId="0" shapeId="0" xr:uid="{43678B24-2B5A-4FB6-854E-559B5572F291}">
      <text>
        <r>
          <rPr>
            <b/>
            <sz val="9"/>
            <color indexed="81"/>
            <rFont val="Tahoma"/>
            <family val="2"/>
          </rPr>
          <t>Juliana:</t>
        </r>
        <r>
          <rPr>
            <sz val="9"/>
            <color indexed="81"/>
            <rFont val="Tahoma"/>
            <family val="2"/>
          </rPr>
          <t xml:space="preserve">
Origen de los datos en Sistematización de encuestas: https://www.dropbox.com/s/2fccrtf84w6xpie/BIOMATEC-BEL%C3%89N-Sistematizaci%C3%B3n%20de%20Industrias.xlsx?dl=0</t>
        </r>
      </text>
    </comment>
    <comment ref="I168" authorId="0" shapeId="0" xr:uid="{3D4A9FB9-6F9B-4326-A7F7-E050DDFFB454}">
      <text>
        <r>
          <rPr>
            <b/>
            <sz val="9"/>
            <color indexed="81"/>
            <rFont val="Tahoma"/>
            <family val="2"/>
          </rPr>
          <t>Juliana:</t>
        </r>
        <r>
          <rPr>
            <sz val="9"/>
            <color indexed="81"/>
            <rFont val="Tahoma"/>
            <family val="2"/>
          </rPr>
          <t xml:space="preserve">
Obtenido de patentes comerciales e industriales.
https://www.dropbox.com/s/1ts6h29kt8ko25y/Bel%C3%A9n_listado%20de%20patentes%202022.xlsx?dl=0</t>
        </r>
      </text>
    </comment>
    <comment ref="B172" authorId="0" shapeId="0" xr:uid="{A5A80B3A-0390-457E-8E63-263B5D3CF89B}">
      <text>
        <r>
          <rPr>
            <b/>
            <sz val="9"/>
            <color indexed="81"/>
            <rFont val="Tahoma"/>
            <family val="2"/>
          </rPr>
          <t>Juliana:</t>
        </r>
        <r>
          <rPr>
            <sz val="9"/>
            <color indexed="81"/>
            <rFont val="Tahoma"/>
            <family val="2"/>
          </rPr>
          <t xml:space="preserve">
Información tomada del inventario GEI para AC y refrigeración en CR (2012-2016) pág. 38</t>
        </r>
      </text>
    </comment>
    <comment ref="B173" authorId="0" shapeId="0" xr:uid="{BD71DFDD-E072-4C80-8526-FC827C7933E3}">
      <text>
        <r>
          <rPr>
            <b/>
            <sz val="9"/>
            <color indexed="81"/>
            <rFont val="Tahoma"/>
            <family val="2"/>
          </rPr>
          <t>Juliana:</t>
        </r>
        <r>
          <rPr>
            <sz val="9"/>
            <color indexed="81"/>
            <rFont val="Tahoma"/>
            <family val="2"/>
          </rPr>
          <t xml:space="preserve">
Se toma de encuestas a industrias</t>
        </r>
      </text>
    </comment>
    <comment ref="C173" authorId="0" shapeId="0" xr:uid="{D9106DAA-D76D-4EC3-98E0-8024B492EDCF}">
      <text>
        <r>
          <rPr>
            <b/>
            <sz val="9"/>
            <color indexed="81"/>
            <rFont val="Tahoma"/>
            <family val="2"/>
          </rPr>
          <t>Juliana:</t>
        </r>
        <r>
          <rPr>
            <sz val="9"/>
            <color indexed="81"/>
            <rFont val="Tahoma"/>
            <family val="2"/>
          </rPr>
          <t xml:space="preserve">
Se toma de encuestas a industrias</t>
        </r>
      </text>
    </comment>
    <comment ref="E173" authorId="0" shapeId="0" xr:uid="{1E0674CC-C875-4E34-ACB1-013231BEF395}">
      <text>
        <r>
          <rPr>
            <b/>
            <sz val="9"/>
            <color indexed="81"/>
            <rFont val="Tahoma"/>
            <family val="2"/>
          </rPr>
          <t>Juliana:</t>
        </r>
        <r>
          <rPr>
            <sz val="9"/>
            <color indexed="81"/>
            <rFont val="Tahoma"/>
            <family val="2"/>
          </rPr>
          <t xml:space="preserve">
Dato tomado del inventario de GEI de Refrigeración y AC para CR (2012-2016), Tabla 5, pág. 33</t>
        </r>
      </text>
    </comment>
    <comment ref="G173" authorId="0" shapeId="0" xr:uid="{085F085A-3EF8-4662-8A1D-4C2A066A5BAB}">
      <text>
        <r>
          <rPr>
            <b/>
            <sz val="9"/>
            <color indexed="81"/>
            <rFont val="Tahoma"/>
            <family val="2"/>
          </rPr>
          <t>Juliana:</t>
        </r>
        <r>
          <rPr>
            <sz val="9"/>
            <color indexed="81"/>
            <rFont val="Tahoma"/>
            <family val="2"/>
          </rPr>
          <t xml:space="preserve">
Dato tomado del inventario de GEI de Refrigeración y AC para CR (2012-2016), Tabla 5, pág. 33</t>
        </r>
      </text>
    </comment>
    <comment ref="I174" authorId="0" shapeId="0" xr:uid="{F03BF9AC-21DE-4B69-BE80-012DB25C094E}">
      <text>
        <r>
          <rPr>
            <b/>
            <sz val="9"/>
            <color indexed="81"/>
            <rFont val="Tahoma"/>
            <family val="2"/>
          </rPr>
          <t>Juliana:</t>
        </r>
        <r>
          <rPr>
            <sz val="9"/>
            <color indexed="81"/>
            <rFont val="Tahoma"/>
            <family val="2"/>
          </rPr>
          <t xml:space="preserve">
Valor medio entre 0.2 y 1 %. Rango indicado por el IPCC</t>
        </r>
      </text>
    </comment>
    <comment ref="I187" authorId="0" shapeId="0" xr:uid="{0800AA95-B6FB-41EE-975E-8ED642C79D0A}">
      <text>
        <r>
          <rPr>
            <b/>
            <sz val="9"/>
            <color indexed="81"/>
            <rFont val="Tahoma"/>
            <family val="2"/>
          </rPr>
          <t>Juliana:</t>
        </r>
        <r>
          <rPr>
            <sz val="9"/>
            <color indexed="81"/>
            <rFont val="Tahoma"/>
            <family val="2"/>
          </rPr>
          <t xml:space="preserve">
Obtenido de patentes comerciales e industriales.
https://www.dropbox.com/s/1ts6h29kt8ko25y/Bel%C3%A9n_listado%20de%20patentes%202022.xlsx?dl=0</t>
        </r>
      </text>
    </comment>
    <comment ref="B192" authorId="0" shapeId="0" xr:uid="{426E758A-A7E3-4AD3-9BDC-35BD80AFA198}">
      <text>
        <r>
          <rPr>
            <b/>
            <sz val="9"/>
            <color indexed="81"/>
            <rFont val="Tahoma"/>
            <family val="2"/>
          </rPr>
          <t>Juliana:</t>
        </r>
        <r>
          <rPr>
            <sz val="9"/>
            <color indexed="81"/>
            <rFont val="Tahoma"/>
            <family val="2"/>
          </rPr>
          <t xml:space="preserve">
Identificado en encuestas a comercios</t>
        </r>
      </text>
    </comment>
    <comment ref="C192" authorId="0" shapeId="0" xr:uid="{4BBF56F3-C118-4D93-AAFF-274AAD567719}">
      <text>
        <r>
          <rPr>
            <b/>
            <sz val="9"/>
            <color indexed="81"/>
            <rFont val="Tahoma"/>
            <family val="2"/>
          </rPr>
          <t>Juliana:</t>
        </r>
        <r>
          <rPr>
            <sz val="9"/>
            <color indexed="81"/>
            <rFont val="Tahoma"/>
            <family val="2"/>
          </rPr>
          <t xml:space="preserve">
Distribución obtenida de encuestas a comercios</t>
        </r>
      </text>
    </comment>
    <comment ref="E192" authorId="0" shapeId="0" xr:uid="{FABFCE86-0762-4758-AC05-740F4A591957}">
      <text>
        <r>
          <rPr>
            <b/>
            <sz val="9"/>
            <color indexed="81"/>
            <rFont val="Tahoma"/>
            <family val="2"/>
          </rPr>
          <t>Juliana:</t>
        </r>
        <r>
          <rPr>
            <sz val="9"/>
            <color indexed="81"/>
            <rFont val="Tahoma"/>
            <family val="2"/>
          </rPr>
          <t xml:space="preserve">
Dato tomado del inventario de GEI de Refrigeración y AC para CR (2012-2016), Tabla 5, pág. 33. Se toma un promedio entre la carga de equipos autónomos (congeladores y enfriadores) de 0.59 y la de refrigeradores de 0.102. Proporción de equipos se toma de encuestas</t>
        </r>
      </text>
    </comment>
    <comment ref="G192" authorId="0" shapeId="0" xr:uid="{25F437B3-B350-4992-83FE-7984A12ABBE7}">
      <text>
        <r>
          <rPr>
            <b/>
            <sz val="9"/>
            <color indexed="81"/>
            <rFont val="Tahoma"/>
            <family val="2"/>
          </rPr>
          <t>Juliana:</t>
        </r>
        <r>
          <rPr>
            <sz val="9"/>
            <color indexed="81"/>
            <rFont val="Tahoma"/>
            <family val="2"/>
          </rPr>
          <t xml:space="preserve">
Dato tomado del inventario de GEI de Refrigeración y AC para CR (2012-2016), Tabla 5, pág. 33</t>
        </r>
      </text>
    </comment>
    <comment ref="I193" authorId="0" shapeId="0" xr:uid="{17472EEB-5CD2-4340-8B57-B80922DBE0B7}">
      <text>
        <r>
          <rPr>
            <b/>
            <sz val="9"/>
            <color indexed="81"/>
            <rFont val="Tahoma"/>
            <family val="2"/>
          </rPr>
          <t>Juliana:</t>
        </r>
        <r>
          <rPr>
            <sz val="9"/>
            <color indexed="81"/>
            <rFont val="Tahoma"/>
            <family val="2"/>
          </rPr>
          <t xml:space="preserve">
Valor medio entre 0.2 y 1 %. Rango indicado por el IPCC</t>
        </r>
      </text>
    </comment>
    <comment ref="B210" authorId="0" shapeId="0" xr:uid="{20EC6822-8B37-4F69-9518-919A2C63DBD9}">
      <text>
        <r>
          <rPr>
            <b/>
            <sz val="9"/>
            <color indexed="81"/>
            <rFont val="Tahoma"/>
            <family val="2"/>
          </rPr>
          <t>Juliana:</t>
        </r>
        <r>
          <rPr>
            <sz val="9"/>
            <color indexed="81"/>
            <rFont val="Tahoma"/>
            <family val="2"/>
          </rPr>
          <t xml:space="preserve">
Origen de los datos en Sistematización de encuestas: https://www.dropbox.com/s/rxjafjs544u61hw/Sistematizaci%C3%B3n%20de%20resultados_Agropecuario_Bel%C3%A9n.xlsx?dl=0</t>
        </r>
      </text>
    </comment>
    <comment ref="I213" authorId="0" shapeId="0" xr:uid="{9F6A2D88-9328-415C-A0F7-760BAA6A7724}">
      <text>
        <r>
          <rPr>
            <b/>
            <sz val="9"/>
            <color indexed="81"/>
            <rFont val="Tahoma"/>
            <family val="2"/>
          </rPr>
          <t>Juliana:</t>
        </r>
        <r>
          <rPr>
            <sz val="9"/>
            <color indexed="81"/>
            <rFont val="Tahoma"/>
            <family val="2"/>
          </rPr>
          <t xml:space="preserve">
https://www.dropbox.com/s/nywmfz2l92w2tcx/Visita%20a%20productores%20Agropecuarios.xlsx?dl=0</t>
        </r>
      </text>
    </comment>
    <comment ref="B218" authorId="0" shapeId="0" xr:uid="{BD028F19-288C-48E5-9307-C741EA958B26}">
      <text>
        <r>
          <rPr>
            <b/>
            <sz val="9"/>
            <color indexed="81"/>
            <rFont val="Tahoma"/>
            <family val="2"/>
          </rPr>
          <t>Juliana:</t>
        </r>
        <r>
          <rPr>
            <sz val="9"/>
            <color indexed="81"/>
            <rFont val="Tahoma"/>
            <family val="2"/>
          </rPr>
          <t xml:space="preserve">
Tomado del inventario de refrigeración GEI para CR, Tabla 22, pág 75</t>
        </r>
      </text>
    </comment>
    <comment ref="C218" authorId="0" shapeId="0" xr:uid="{49748359-9A16-4267-A075-89ABF4BD3F70}">
      <text>
        <r>
          <rPr>
            <b/>
            <sz val="9"/>
            <color indexed="81"/>
            <rFont val="Tahoma"/>
            <family val="2"/>
          </rPr>
          <t xml:space="preserve">Juliana:
</t>
        </r>
        <r>
          <rPr>
            <sz val="9"/>
            <color indexed="81"/>
            <rFont val="Tahoma"/>
            <family val="2"/>
          </rPr>
          <t>Tomado del inventario de refrigeración GEI para CR, Tabla 22, pág 75</t>
        </r>
      </text>
    </comment>
    <comment ref="E218" authorId="0" shapeId="0" xr:uid="{A7FD1AAA-9010-4B8B-858C-3D30ED0ED180}">
      <text>
        <r>
          <rPr>
            <b/>
            <sz val="9"/>
            <color indexed="81"/>
            <rFont val="Tahoma"/>
            <family val="2"/>
          </rPr>
          <t>Juliana:</t>
        </r>
        <r>
          <rPr>
            <sz val="9"/>
            <color indexed="81"/>
            <rFont val="Tahoma"/>
            <family val="2"/>
          </rPr>
          <t xml:space="preserve">
Dato tomado del inventario de GEI de Refrigeración y AC para CR (2012-2016), Tabla 5, pág. 33.</t>
        </r>
      </text>
    </comment>
    <comment ref="G218" authorId="0" shapeId="0" xr:uid="{6784E4A5-D412-4C7F-A854-C9AB317691B7}">
      <text>
        <r>
          <rPr>
            <b/>
            <sz val="9"/>
            <color indexed="81"/>
            <rFont val="Tahoma"/>
            <family val="2"/>
          </rPr>
          <t>Juliana:</t>
        </r>
        <r>
          <rPr>
            <sz val="9"/>
            <color indexed="81"/>
            <rFont val="Tahoma"/>
            <family val="2"/>
          </rPr>
          <t xml:space="preserve">
Dato tomado del inventario de GEI de Refrigeración y AC para CR (2012-2016), Tabla 5, pág. 33</t>
        </r>
      </text>
    </comment>
    <comment ref="I219" authorId="0" shapeId="0" xr:uid="{C642D805-CDED-4869-969D-55934590B801}">
      <text>
        <r>
          <rPr>
            <b/>
            <sz val="9"/>
            <color indexed="81"/>
            <rFont val="Tahoma"/>
            <family val="2"/>
          </rPr>
          <t>Juliana:</t>
        </r>
        <r>
          <rPr>
            <sz val="9"/>
            <color indexed="81"/>
            <rFont val="Tahoma"/>
            <family val="2"/>
          </rPr>
          <t xml:space="preserve">
Valor medio entre 0.2 y 1 %. Rango indicado por el IPCC</t>
        </r>
      </text>
    </comment>
    <comment ref="B227" authorId="0" shapeId="0" xr:uid="{00B9890C-D307-490D-8BA5-EA4CD7848929}">
      <text>
        <r>
          <rPr>
            <b/>
            <sz val="9"/>
            <color indexed="81"/>
            <rFont val="Tahoma"/>
            <family val="2"/>
          </rPr>
          <t>Juliana:</t>
        </r>
        <r>
          <rPr>
            <sz val="9"/>
            <color indexed="81"/>
            <rFont val="Tahoma"/>
            <family val="2"/>
          </rPr>
          <t xml:space="preserve">
Origen de los datos en Sistematización de encuestas: https://www.dropbox.com/sh/rtff6b7xq7ys19u/AABX4n0PdwqS_EZWaOLs8oRma?dl=0</t>
        </r>
      </text>
    </comment>
    <comment ref="B233" authorId="0" shapeId="0" xr:uid="{E15723F5-B371-49C2-AE51-E3177CFDC243}">
      <text>
        <r>
          <rPr>
            <b/>
            <sz val="9"/>
            <color indexed="81"/>
            <rFont val="Tahoma"/>
            <family val="2"/>
          </rPr>
          <t>Juliana:</t>
        </r>
        <r>
          <rPr>
            <sz val="9"/>
            <color indexed="81"/>
            <rFont val="Tahoma"/>
            <family val="2"/>
          </rPr>
          <t xml:space="preserve">
Origen de los datos en Sistematización de encuestas: https://www.dropbox.com/s/hec3ap984ls8tjk/Sistematizaci%C3%B3n%20de%20resultados_comercios%20e%20instituciones_Para%C3%ADso.xlsx?dl=0</t>
        </r>
      </text>
    </comment>
    <comment ref="B239" authorId="0" shapeId="0" xr:uid="{23CBA47C-0543-4535-89EF-F85A63800508}">
      <text>
        <r>
          <rPr>
            <b/>
            <sz val="9"/>
            <color indexed="81"/>
            <rFont val="Tahoma"/>
            <family val="2"/>
          </rPr>
          <t>Juliana:</t>
        </r>
        <r>
          <rPr>
            <sz val="9"/>
            <color indexed="81"/>
            <rFont val="Tahoma"/>
            <family val="2"/>
          </rPr>
          <t xml:space="preserve">
Origen de los datos en Sistematización de encuestas: https://www.dropbox.com/s/2fccrtf84w6xpie/BIOMATEC-BEL%C3%89N-Sistematizaci%C3%B3n%20de%20Industrias.xlsx?dl=0</t>
        </r>
      </text>
    </comment>
    <comment ref="B255" authorId="0" shapeId="0" xr:uid="{FCD96732-53FC-4F81-9F27-BC6EF5DAA5FD}">
      <text>
        <r>
          <rPr>
            <b/>
            <sz val="9"/>
            <color indexed="81"/>
            <rFont val="Tahoma"/>
            <family val="2"/>
          </rPr>
          <t>Juliana:</t>
        </r>
        <r>
          <rPr>
            <sz val="9"/>
            <color indexed="81"/>
            <rFont val="Tahoma"/>
            <family val="2"/>
          </rPr>
          <t xml:space="preserve">
No se coloca enlace a la información ya que esta viene directo de industria responsable y datos se consideran confidenciales</t>
        </r>
      </text>
    </comment>
  </commentList>
</comments>
</file>

<file path=xl/sharedStrings.xml><?xml version="1.0" encoding="utf-8"?>
<sst xmlns="http://schemas.openxmlformats.org/spreadsheetml/2006/main" count="5870" uniqueCount="1894">
  <si>
    <t xml:space="preserve">Herramienta para el cálculo de las emisiones </t>
  </si>
  <si>
    <t>Nombre del cantón o el distrito</t>
  </si>
  <si>
    <t>Belén</t>
  </si>
  <si>
    <t>Año del reporte</t>
  </si>
  <si>
    <t>Organización responsable del inventario</t>
  </si>
  <si>
    <t>Municipalidad de Belén</t>
  </si>
  <si>
    <t>Fecha de la Herramienta</t>
  </si>
  <si>
    <t>Versión de la herramienta</t>
  </si>
  <si>
    <t>1. Generalidades del inventario</t>
  </si>
  <si>
    <t>2. Sectores, sub sectores y fuentes</t>
  </si>
  <si>
    <t>1.1. Descripción de la ciudad</t>
  </si>
  <si>
    <t>2.1. Energía estacionaria</t>
  </si>
  <si>
    <t>1.2. Fuentes de Información</t>
  </si>
  <si>
    <t>2.2. Transporte</t>
  </si>
  <si>
    <t>1.3. Factores de emisión</t>
  </si>
  <si>
    <t>2.3. Residuos</t>
  </si>
  <si>
    <t>2.4.Procesos Industriales y uso de productos</t>
  </si>
  <si>
    <t>2.5.Agricultura, silvicultura y otros usos de la tierra</t>
  </si>
  <si>
    <t>3. Resultado del inventario</t>
  </si>
  <si>
    <t>3. Emisiones netas</t>
  </si>
  <si>
    <r>
      <rPr>
        <b/>
        <sz val="12"/>
        <color theme="1"/>
        <rFont val="Calibri"/>
        <family val="2"/>
        <scheme val="minor"/>
      </rPr>
      <t>Autores</t>
    </r>
    <r>
      <rPr>
        <sz val="12"/>
        <color theme="1"/>
        <rFont val="Calibri"/>
        <family val="2"/>
        <scheme val="minor"/>
      </rPr>
      <t xml:space="preserve">
Esta herramienta de cálculo tiene como objetivo colaborar en proceso de recopilación y cálculo de emisiones de gases de efecto invernadero para los cantones y los distritos participantes del Programa País Carbono Neutralidad 2.0. Categoría Cantonal-PPCNC desarrollado por la Dirección de Cambio Cllimatico del Ministerio de Ambiente y Energía de Costa Rica.
 La misma fue desarrollada en el marco del proyecto de la Agencia Alemana de Cooperación Internacion titulado Aplicación y Validación de la herramienta Programa País Cantonal en seis municipalidades. 
La herramienta fue elaborada por el área de Cambio Climático y Ciudades Resilientes del Centro para la Sostenibilidad Urbana.
Versión 02-Octubre 2019</t>
    </r>
  </si>
  <si>
    <t>Inicio</t>
  </si>
  <si>
    <t>1. Límite del inventario</t>
  </si>
  <si>
    <t>Aspecto</t>
  </si>
  <si>
    <t>Descripción</t>
  </si>
  <si>
    <t>Provincia</t>
  </si>
  <si>
    <t>Heredia</t>
  </si>
  <si>
    <t>País</t>
  </si>
  <si>
    <t>Costa Rica</t>
  </si>
  <si>
    <t>Año de reporte</t>
  </si>
  <si>
    <t>Año base</t>
  </si>
  <si>
    <t>Límite geográfico escogido</t>
  </si>
  <si>
    <t>Cantonal. Se incluyen los distritos de San Antonio, La Ribera y La Asunción.</t>
  </si>
  <si>
    <t>km2 del área incluida en el inventario</t>
  </si>
  <si>
    <t>Cantidad de residentes que viven dentro del área del inventario</t>
  </si>
  <si>
    <t>Producto interno bruto del cantón o distrito</t>
  </si>
  <si>
    <t>Tipo de actividades económicas desarrolladas</t>
  </si>
  <si>
    <t xml:space="preserve">Principalmente industriales, comerciales y de servicios </t>
  </si>
  <si>
    <t>Clima del cantón o el distrito</t>
  </si>
  <si>
    <t>Época de lluvia de junio a octubre bochornosa y nublada. Temporada seca parcialmente nublada y es caliente durante todo el año con temperaturas que varían entre los 18 °C a los 30 °C.</t>
  </si>
  <si>
    <t>Otra información</t>
  </si>
  <si>
    <t>IDS San Antonio: 84.78
IDS La Asunción: 96.95
IDS La Ribera: 84.61</t>
  </si>
  <si>
    <t>2. Mapa de área geográfica elegida para desarrollar el inventario</t>
  </si>
  <si>
    <t>3. Integrantes de la comisión intersectorial del cambio climático (Comisión Cantonal de Cambio Climático de Belén)</t>
  </si>
  <si>
    <t>Nombre completo</t>
  </si>
  <si>
    <t>Organización</t>
  </si>
  <si>
    <t>Correo electrónico</t>
  </si>
  <si>
    <t>Dulcehé Jiménez Espinoza</t>
  </si>
  <si>
    <t>ambiental@belen.go.cr</t>
  </si>
  <si>
    <t>Esteban Salazar Acuña</t>
  </si>
  <si>
    <t>saneamiento@belen.go.cr</t>
  </si>
  <si>
    <t>Walter Alvarado Rodríguez</t>
  </si>
  <si>
    <t>Deloitte</t>
  </si>
  <si>
    <t>waalvarado@deloitte.com</t>
  </si>
  <si>
    <t>Lidieth Murillo Chaves</t>
  </si>
  <si>
    <t>vicecalcaldesa1@belen.go.cr</t>
  </si>
  <si>
    <t>Andrey Valerio</t>
  </si>
  <si>
    <t>Centro Internacional de Inversiones SA</t>
  </si>
  <si>
    <t>andrey.valerio@grupociisa.com</t>
  </si>
  <si>
    <t>Ulises Araya Chaves</t>
  </si>
  <si>
    <t>Municipalidad de Belén- Concejo Municipal</t>
  </si>
  <si>
    <t>ulises330@gmail.com</t>
  </si>
  <si>
    <t>Alina Aguilar Arguedas</t>
  </si>
  <si>
    <t>Universidad Nacional</t>
  </si>
  <si>
    <t>alina.aguilar.arguedas@una.cr</t>
  </si>
  <si>
    <t>Georgina Jiménez Elizondo</t>
  </si>
  <si>
    <t>Asociación Belén Sostenible</t>
  </si>
  <si>
    <t>georginaj@gmail.com</t>
  </si>
  <si>
    <t>Ana María Araya Castro</t>
  </si>
  <si>
    <t>Sociedad civil</t>
  </si>
  <si>
    <t>anitaaraya94@gmail.com</t>
  </si>
  <si>
    <t>Laura Roldán Vargas</t>
  </si>
  <si>
    <t>Pedregal</t>
  </si>
  <si>
    <t>mercadeo@pedregal.co.cr</t>
  </si>
  <si>
    <t>Óscar Ramírez Carvajal</t>
  </si>
  <si>
    <t>SINAC</t>
  </si>
  <si>
    <t>oscar.ramirez@sinac.go.cr</t>
  </si>
  <si>
    <t>Ana Yancy Arce</t>
  </si>
  <si>
    <t>gerentesostenibilidad@pedregal.co.cr</t>
  </si>
  <si>
    <t>Andrés Barrantes Araya</t>
  </si>
  <si>
    <t>Autobuses Barrantes Araya</t>
  </si>
  <si>
    <t xml:space="preserve">autobuses.barrantes.araya@gmail.com </t>
  </si>
  <si>
    <t>César Castro</t>
  </si>
  <si>
    <t>Bomberos de Costa Rica</t>
  </si>
  <si>
    <t xml:space="preserve">belen@bomberos.go.cr </t>
  </si>
  <si>
    <t>Melissa Flores Núñez</t>
  </si>
  <si>
    <t>Asociación de Desarrollo</t>
  </si>
  <si>
    <t xml:space="preserve">melissaflonu@gmail.com </t>
  </si>
  <si>
    <t>Erick González</t>
  </si>
  <si>
    <t>Tico infusion</t>
  </si>
  <si>
    <t xml:space="preserve">egonzalez@ticoinfusion.com </t>
  </si>
  <si>
    <t>Karla Villalobos</t>
  </si>
  <si>
    <t>CIISA</t>
  </si>
  <si>
    <t xml:space="preserve">Karla.Villalobos@grupociisa.com </t>
  </si>
  <si>
    <t>Karol Hernández</t>
  </si>
  <si>
    <t>Hotel Marriott Belén</t>
  </si>
  <si>
    <t xml:space="preserve">Karol.Hernandez@marriotthotels.com </t>
  </si>
  <si>
    <t>Manuel Alvarado Gómez</t>
  </si>
  <si>
    <t xml:space="preserve">comunicacion@belen.go.cr </t>
  </si>
  <si>
    <t>Manuel Ortiz</t>
  </si>
  <si>
    <t>Asociación El Guapinol/ Asociación Huella Fértil</t>
  </si>
  <si>
    <t xml:space="preserve">leunam251959@gmail.com </t>
  </si>
  <si>
    <t>María Antonia Castro Franceschi</t>
  </si>
  <si>
    <t xml:space="preserve">castromaria6410@gmail.com </t>
  </si>
  <si>
    <t>María Gómez</t>
  </si>
  <si>
    <t xml:space="preserve">marigomez@deloitte.com </t>
  </si>
  <si>
    <t>María Ramírez</t>
  </si>
  <si>
    <t>3M</t>
  </si>
  <si>
    <t xml:space="preserve">a64ylzz@mmm.com </t>
  </si>
  <si>
    <t>Melanie Carvajal</t>
  </si>
  <si>
    <t>Unilever</t>
  </si>
  <si>
    <t xml:space="preserve">Melanie.Carvajal2@unilever.com </t>
  </si>
  <si>
    <t>Miguel Chaves</t>
  </si>
  <si>
    <t>Citi/ Asociación Huella Fértil</t>
  </si>
  <si>
    <t xml:space="preserve">miguelchavescalvo@hotmail.com </t>
  </si>
  <si>
    <t>Natalia Luna</t>
  </si>
  <si>
    <t>Do More Talk Less</t>
  </si>
  <si>
    <t xml:space="preserve">n06luna@gmail.com </t>
  </si>
  <si>
    <t>Natasha Prendas Serrano</t>
  </si>
  <si>
    <t>Área Rectora de Salud- Belén Flores/ MINSA</t>
  </si>
  <si>
    <t>natasha.prendas@misalud.go.cr</t>
  </si>
  <si>
    <t>Robert Samudio</t>
  </si>
  <si>
    <t>Hotel Marriott</t>
  </si>
  <si>
    <t>robert.samudio@marriott.com</t>
  </si>
  <si>
    <t>Susana Ramírez</t>
  </si>
  <si>
    <t>sramirez@mmm.com</t>
  </si>
  <si>
    <t>Vanessa Valerio Hernández</t>
  </si>
  <si>
    <t>vanessa.valerio.hernandez@una.cr</t>
  </si>
  <si>
    <t>Stephanie</t>
  </si>
  <si>
    <t>Cruz Roja Belén</t>
  </si>
  <si>
    <t>sanantoniodebelen@cruzroja.or.cr</t>
  </si>
  <si>
    <t>Roberto Rodríguez</t>
  </si>
  <si>
    <t>robertorodsa@gmail.com</t>
  </si>
  <si>
    <t>4. Información del inventario</t>
  </si>
  <si>
    <t>Descripción de los sectores, sub sectores y fuentes de emisión a reportar</t>
  </si>
  <si>
    <r>
      <t xml:space="preserve">*Energía Estacionaria con subsectores como combustibles fósiles para equipos estacionarios en sectores residenciales, comerciales, agrícolas e industriales, </t>
    </r>
    <r>
      <rPr>
        <sz val="12"/>
        <rFont val="Calibri"/>
        <family val="2"/>
        <scheme val="minor"/>
      </rPr>
      <t>uso de biomasas</t>
    </r>
    <r>
      <rPr>
        <sz val="12"/>
        <color theme="1"/>
        <rFont val="Calibri"/>
        <family val="2"/>
        <scheme val="minor"/>
      </rPr>
      <t xml:space="preserve">, consumo de energía eléctrica, pérdidas de energía por red.
*Transporte, con subsectores como transporte por carretera en alcance </t>
    </r>
    <r>
      <rPr>
        <sz val="12"/>
        <rFont val="Calibri"/>
        <family val="2"/>
        <scheme val="minor"/>
      </rPr>
      <t>1, 2 y 3</t>
    </r>
    <r>
      <rPr>
        <sz val="12"/>
        <color theme="1"/>
        <rFont val="Calibri"/>
        <family val="2"/>
        <scheme val="minor"/>
      </rPr>
      <t xml:space="preserve">. Transporte fuera de carretera en alcance </t>
    </r>
    <r>
      <rPr>
        <sz val="12"/>
        <rFont val="Calibri"/>
        <family val="2"/>
        <scheme val="minor"/>
      </rPr>
      <t>1</t>
    </r>
    <r>
      <rPr>
        <sz val="12"/>
        <color theme="1"/>
        <rFont val="Calibri"/>
        <family val="2"/>
        <scheme val="minor"/>
      </rPr>
      <t xml:space="preserve">. 
*Residuos, con subsectores como manejo de aguas domésticas e industriales, residuos enviados a relleno sanitario en alcance 3, </t>
    </r>
    <r>
      <rPr>
        <sz val="12"/>
        <rFont val="Calibri"/>
        <family val="2"/>
        <scheme val="minor"/>
      </rPr>
      <t>quema e incineración de residuos</t>
    </r>
    <r>
      <rPr>
        <sz val="12"/>
        <color theme="1"/>
        <rFont val="Calibri"/>
        <family val="2"/>
        <scheme val="minor"/>
      </rPr>
      <t xml:space="preserve"> y tratamientos biológicos como </t>
    </r>
    <r>
      <rPr>
        <sz val="12"/>
        <rFont val="Calibri"/>
        <family val="2"/>
        <scheme val="minor"/>
      </rPr>
      <t>entierro y compostaje.</t>
    </r>
    <r>
      <rPr>
        <sz val="12"/>
        <color theme="1"/>
        <rFont val="Calibri"/>
        <family val="2"/>
        <scheme val="minor"/>
      </rPr>
      <t xml:space="preserve">
*IPPU, con subsectores como uso de productos refirgerantes en equipos comerciales e industriales y aires acondicionados.
*AFOLU con subsectores como ganadería, uso del suelo y fuentes distintas al CO2</t>
    </r>
  </si>
  <si>
    <t>Descripción de los gases de efecto invernadero a reportar</t>
  </si>
  <si>
    <t>CO2, CH4, N2O, HCFC, PFC, SF6 y HFC</t>
  </si>
  <si>
    <t>Fuente de los potenciales de calentamiento global</t>
  </si>
  <si>
    <t xml:space="preserve">IPCC Fourth Assessment Report (2007)          
</t>
  </si>
  <si>
    <t>Descripción de las metodologías y herramientas usadas para el desarrollo del inventario</t>
  </si>
  <si>
    <t>Sector Energía Estacionaria</t>
  </si>
  <si>
    <t>Se recurrió a las empresas distribuidoras de combustibles, gas LP y energía eléctrica. Se solicitaron datos de consumo clasificados por subsector. Se complementó además con encuestas al sector residencial, comercial e institucional, y agropecuario para desagregar los datos consolidados o para recopilación de uso de combustibles no tradicionales.</t>
  </si>
  <si>
    <t>Sector Transporte</t>
  </si>
  <si>
    <r>
      <t>Se recurrió a los comercios expendedores de combustibles para datos de venta en estaciones de servicio</t>
    </r>
    <r>
      <rPr>
        <sz val="12"/>
        <rFont val="Calibri"/>
        <family val="2"/>
      </rPr>
      <t xml:space="preserve"> y peddler</t>
    </r>
    <r>
      <rPr>
        <sz val="12"/>
        <color theme="1"/>
        <rFont val="Calibri"/>
        <family val="2"/>
      </rPr>
      <t xml:space="preserve">. </t>
    </r>
    <r>
      <rPr>
        <sz val="12"/>
        <rFont val="Calibri"/>
        <family val="2"/>
      </rPr>
      <t>Se recurrió a RECOPE para conocer datos de ventas de combustible al distrito en el año. Se recurre al gestor encargado del transporte de residuos sólidos a relleno sanitario por información de viajes interdistritales y se realiza encuestas a dueños de vehículos eléctricos.</t>
    </r>
    <r>
      <rPr>
        <sz val="12"/>
        <color theme="1"/>
        <rFont val="Calibri"/>
        <family val="2"/>
      </rPr>
      <t xml:space="preserve"> Se recurre a INCOFER para datos de consumo ferroviario.</t>
    </r>
  </si>
  <si>
    <t>Sector Residuos</t>
  </si>
  <si>
    <t>Se gestionó la recopilación de datos de residuos ordinarios a través de los responsables de la recolección municipal. Para otras corrientes de residuos se recurrió a la consulta en las encuestas a los diferentes sectores. Se solicitó información de tratamiento de aguas residuales a las oficinas del Area Rectora para obtener datos de operación de las plantas registradas y bajo control.</t>
  </si>
  <si>
    <t>Sector Procesos Industriales y Uso de productos</t>
  </si>
  <si>
    <t>Se aplicó una encuesta para el sector comercial e industrial para recopilar datos de procesos, utilización de refrigerantes y productos y emisiones industriales.</t>
  </si>
  <si>
    <t>Sector agricultura, silvicultura y otros usos de la tierra</t>
  </si>
  <si>
    <r>
      <t xml:space="preserve">Se aplicó una encuesta para el sector agropecuario para determinar fertilizantes aplicados, frecuencias, tipos de cultivos y hectáreas sembradas así como cantidad de cabezas de ganado por edad, sexo y tipo. </t>
    </r>
    <r>
      <rPr>
        <sz val="12"/>
        <rFont val="Calibri"/>
        <family val="2"/>
      </rPr>
      <t>Para determinar el uso de fertilizantes de algunos cultivos se obtuvo los estudios de costos productivos por cultivo del ente rector (MAG/SEPSE).</t>
    </r>
  </si>
  <si>
    <t>Cambios o comentarios respecto al último inventario realizado</t>
  </si>
  <si>
    <t>Se agregan las fuentes de Alcance 3 para energía estacionaria, Alcance 2 para transporte, tratamiento biológico en el sector residuos y uso de combustibles biomásicos en el sector energético. Se calcula remociones de carbono por cambio de uso de la tierra.</t>
  </si>
  <si>
    <t>4. Compilador del inventario</t>
  </si>
  <si>
    <t>Datos persona contacto 1</t>
  </si>
  <si>
    <t>Nombre del compilador</t>
  </si>
  <si>
    <t>Departamento</t>
  </si>
  <si>
    <t>Gestión Ambietal</t>
  </si>
  <si>
    <t>Teléfono</t>
  </si>
  <si>
    <t>ambietnal@belen.go.cr</t>
  </si>
  <si>
    <t>Datos persona contacto 2</t>
  </si>
  <si>
    <t>Saneamiento Municipal</t>
  </si>
  <si>
    <t>Datos persona contacto 3</t>
  </si>
  <si>
    <t>Gustavo Soto</t>
  </si>
  <si>
    <t>BIOMATEC</t>
  </si>
  <si>
    <t>Consultoría Ambiental</t>
  </si>
  <si>
    <t>gustavo.soto@biomatec.net</t>
  </si>
  <si>
    <t>1. Fuentes de información para el inventario</t>
  </si>
  <si>
    <t>Información</t>
  </si>
  <si>
    <t>Nombre de la fuente</t>
  </si>
  <si>
    <t>Año</t>
  </si>
  <si>
    <t>Nombre de la persona contacto</t>
  </si>
  <si>
    <t>Link a la información</t>
  </si>
  <si>
    <t>Comentarios u observaciones</t>
  </si>
  <si>
    <t>Ejemplo</t>
  </si>
  <si>
    <t>Consumo de electricidad en el cantón</t>
  </si>
  <si>
    <t>Instituto Costarricense de Electricidad</t>
  </si>
  <si>
    <t>Pedro González Vargas</t>
  </si>
  <si>
    <t>Dirección Regional de Distribución Pacífico</t>
  </si>
  <si>
    <t>pgonzalez@ice.go.cr</t>
  </si>
  <si>
    <t>www.linkelectricidad.com</t>
  </si>
  <si>
    <t>La información sólo está disponible para los sectores de acuerdo a las tarifas de electricidad vigentes</t>
  </si>
  <si>
    <t>Residuos enviados a relleno sanitario y transporte de residuos a relleno sanitario</t>
  </si>
  <si>
    <t>https://www.dropbox.com/s/ot2why76ecqrx0h/Recolecci%C3%B3n%20ordinaria%202015-2022.xlsx?dl=0</t>
  </si>
  <si>
    <t>Información sobre el total de toneladas de residuos recolectados por EBI y enviados a relleno sanitario en Azerrí y la Uruca</t>
  </si>
  <si>
    <t>Consumo de combustibles fósiles</t>
  </si>
  <si>
    <t>RECOPE</t>
  </si>
  <si>
    <t>Juan José Castrillo Castañeda</t>
  </si>
  <si>
    <t>Departamento de Gestión de Ventas</t>
  </si>
  <si>
    <t>JuanJose.Castrillo@recope.go.cr</t>
  </si>
  <si>
    <t>https://www.dropbox.com/sh/ztwj4tlsggjcm60/AAAHCY_QOeRNTIU7cEX3FOAwa?dl=0</t>
  </si>
  <si>
    <t>Ventas de combustible a estaciones de servicio y peddlers según tipo de combustible (diésel, gasolina, búnker, jet fuel).</t>
  </si>
  <si>
    <t>Consumo de electricidad en el cantón y pérdidas de energía en red de CNFL</t>
  </si>
  <si>
    <t>CNFL</t>
  </si>
  <si>
    <t>Eric Esquivel Porras</t>
  </si>
  <si>
    <t>Dirección de Distribución Eléctrica</t>
  </si>
  <si>
    <t>22955631/22955620</t>
  </si>
  <si>
    <t>eesquivel@cnfl.go.cr</t>
  </si>
  <si>
    <t>https://www.dropbox.com/sh/9bg5kt1cuafdkxm/AABIGXrSuXFyBM9qehpvUoPva?dl=0</t>
  </si>
  <si>
    <t>Consumos de energía eléctrica distribuida por red según sector en KWh y pérdidas de energía en red</t>
  </si>
  <si>
    <t>Hectáreas quemadas de charral o pastizal</t>
  </si>
  <si>
    <t>Walter Freer Alfaro</t>
  </si>
  <si>
    <t>Jefe de estación de Belén de Heredia</t>
  </si>
  <si>
    <t>22395717/22112542</t>
  </si>
  <si>
    <t>Belen@bomberos.go.cr</t>
  </si>
  <si>
    <t>https://www.dropbox.com/sh/wjfkj0sinffcx6k/AAB-mJDh4P6I8ItYZotdT2gKa?dl=0</t>
  </si>
  <si>
    <t>Cantidad de hectáreas quemadas en incendios de charrales o pastizales en belén de heredia en el 2021</t>
  </si>
  <si>
    <t>Quema a cielo a bierto de residuos</t>
  </si>
  <si>
    <t>Cantidad de eventos y hectáreas consumidas por quemas a cielo abierto o en contenedores de basura en el 2021</t>
  </si>
  <si>
    <t>Tratamiento de aguas residuales</t>
  </si>
  <si>
    <t>Ministerio de Salud</t>
  </si>
  <si>
    <t>Diego Hidalgo Barrantes</t>
  </si>
  <si>
    <t>Gestor Ambiental</t>
  </si>
  <si>
    <t>diego.hidalgo@misalud.go.cr</t>
  </si>
  <si>
    <t>https://www.dropbox.com/sh/f1lrrgxd4eiboua/AABzjXOl55QOQfls03kgKBJVa?dl=0</t>
  </si>
  <si>
    <t>Caudal y DQO de PTAR en funcionamiento dentro del cantón de Belén para el año 2021</t>
  </si>
  <si>
    <t>Consumo de combustibles en calderas</t>
  </si>
  <si>
    <t>https://www.dropbox.com/s/kn63cyvo09n3liw/Calderas%20de%20Bel%C3%A9n_con%20c%C3%B3digo.xlsx?dl=0</t>
  </si>
  <si>
    <t>Cantidad y tipo de combustible consumido en calderas operando en el cantón de Belén en el 2021</t>
  </si>
  <si>
    <t>Transporte de residuos valorizables fuera de los límites cantonales</t>
  </si>
  <si>
    <t>Recresco</t>
  </si>
  <si>
    <t>Jorge Naranjo</t>
  </si>
  <si>
    <t>Operaciones</t>
  </si>
  <si>
    <t>j.naranjo@recresco.com</t>
  </si>
  <si>
    <t>https://www.dropbox.com/sh/6qrlyo7o448qrkd/AACqYHitFW2tkb0XlLS5un-Ga?dl=0</t>
  </si>
  <si>
    <t>Tipo y cantidad de combustible consumido en el transporte de residuos valorizables fuera de los límites del cantón</t>
  </si>
  <si>
    <t>Solirsa</t>
  </si>
  <si>
    <t>Sheila Alfaro</t>
  </si>
  <si>
    <t>Asistente Administrativa</t>
  </si>
  <si>
    <t>ventas@solirsa.com</t>
  </si>
  <si>
    <t>https://www.dropbox.com/sh/qx3pvedsl42npor/AAANTjKlmM_6JJNndlZyyojQa?dl=0</t>
  </si>
  <si>
    <t>Consumo de combustibles en transporte ferroviario</t>
  </si>
  <si>
    <t>INCOFER</t>
  </si>
  <si>
    <t>Gustavo Briceño</t>
  </si>
  <si>
    <t>Director a.i. de operaciones</t>
  </si>
  <si>
    <t>25425843/25425887</t>
  </si>
  <si>
    <t>gbriceno@incofer.go.cr</t>
  </si>
  <si>
    <t>https://www.dropbox.com/sh/nrli07f96kra0kf/AACP1t0BM5P-aqx8XqeqQYfia?dl=0</t>
  </si>
  <si>
    <t>Tipo y cantidad de comustible consumido por viaje y cantidad total de viajes realizados por el transporte ferroviario en la ruta a Belén en el 2021</t>
  </si>
  <si>
    <t>Cantidad de animales por tipo en el cantón</t>
  </si>
  <si>
    <t>SENASA</t>
  </si>
  <si>
    <t xml:space="preserve">Adriana Espinoza </t>
  </si>
  <si>
    <t>Subdirección General</t>
  </si>
  <si>
    <t>adriana.espinoza.l@senasa.go.cr</t>
  </si>
  <si>
    <t>https://www.dropbox.com/sh/yf9jmli9f7j0t0w/AAAOy2uMxGu22pBeO6HsTmU_a?dl=0</t>
  </si>
  <si>
    <t>Tipo y cantidad de animales por especie y total de fincas ganaderas en el cantón en el año 2021</t>
  </si>
  <si>
    <t>Pérdidas de energía por distribución en red del ICE a grandes consumidores</t>
  </si>
  <si>
    <t>ICE</t>
  </si>
  <si>
    <t>Jason Araya  Pereira</t>
  </si>
  <si>
    <t>Distribución y comercialización</t>
  </si>
  <si>
    <t>jarayape@ice.go.cr</t>
  </si>
  <si>
    <t>https://www.dropbox.com/s/wngn96wdn4pw2s7/P%C3%A9rdidas%20por%20distribuci%C3%B3n%20de%20energ%C3%ADa%20ICE.jpg?dl=0</t>
  </si>
  <si>
    <t>Pérdidas de energía por distribución en red de industrias que provee el ICE</t>
  </si>
  <si>
    <t>1. Factores de emisión típicos para Costa Rica u otros</t>
  </si>
  <si>
    <t>Cuadro 1. Factores de Emisión para Costa Rica dados por el IMN edición 2020</t>
  </si>
  <si>
    <t>Tipo</t>
  </si>
  <si>
    <t>Unidad</t>
  </si>
  <si>
    <t>Factor de Emisión</t>
  </si>
  <si>
    <t>Fuente</t>
  </si>
  <si>
    <t>CH4</t>
  </si>
  <si>
    <t xml:space="preserve">CO2 </t>
  </si>
  <si>
    <t>N2O</t>
  </si>
  <si>
    <t xml:space="preserve">Residuos- Relleno Sanitario </t>
  </si>
  <si>
    <t>kg CH4 / Kg de residuos sólidos</t>
  </si>
  <si>
    <t xml:space="preserve"> -</t>
  </si>
  <si>
    <t>Instituto
Metereológico
Nacional</t>
  </si>
  <si>
    <t>Compost</t>
  </si>
  <si>
    <t>kg CH4 - kg N2O/kg residuos sólidos</t>
  </si>
  <si>
    <t>Biodigestores</t>
  </si>
  <si>
    <t>kg CH4/kg residuos sólidos</t>
  </si>
  <si>
    <t xml:space="preserve">Aguas Residuales- Lagunas </t>
  </si>
  <si>
    <t>kg CH4/persona/año</t>
  </si>
  <si>
    <t>Aguas Residuales- Tanque Séptico</t>
  </si>
  <si>
    <t>Aguas Residuales- Descaga a ríos</t>
  </si>
  <si>
    <t>Reactor anaeróbico</t>
  </si>
  <si>
    <t>kg CH4 / Kg DQO</t>
  </si>
  <si>
    <t>Laguna anaeróbica profunda</t>
  </si>
  <si>
    <t>Laguna anaeróbica poco profunda</t>
  </si>
  <si>
    <t>Descarga a ríos</t>
  </si>
  <si>
    <t>Sector Energía y Transporte</t>
  </si>
  <si>
    <t>Uso de Electricidad 2010</t>
  </si>
  <si>
    <t>Kg CO2 e / kWh</t>
  </si>
  <si>
    <t>Uso de Electricidad 2011</t>
  </si>
  <si>
    <t xml:space="preserve">Uso de Electricidad 2012 </t>
  </si>
  <si>
    <t>Uso de Electricidad 2013</t>
  </si>
  <si>
    <t>Uso de Electricidad 2014</t>
  </si>
  <si>
    <t>Uso de Electricidad 2015</t>
  </si>
  <si>
    <t>Uso de Electricidad 2016</t>
  </si>
  <si>
    <t>Uso de Electricidad 2017</t>
  </si>
  <si>
    <t>-</t>
  </si>
  <si>
    <t>Uso de Electricidad 2018</t>
  </si>
  <si>
    <t>Uso de Electricidad 2019</t>
  </si>
  <si>
    <t>Uso de Electricidad 2020</t>
  </si>
  <si>
    <t>Uso de Electricidad 2021</t>
  </si>
  <si>
    <t>Gasolina</t>
  </si>
  <si>
    <t>Kg CO2 /L combustible</t>
  </si>
  <si>
    <t>Diesel</t>
  </si>
  <si>
    <t>Búnker</t>
  </si>
  <si>
    <t>Queroseno</t>
  </si>
  <si>
    <t>LPG</t>
  </si>
  <si>
    <t>Gasolina de aviación</t>
  </si>
  <si>
    <t>Jet fuel</t>
  </si>
  <si>
    <t>Lubricante</t>
  </si>
  <si>
    <t>Generación electricidad/Diesel</t>
  </si>
  <si>
    <t>CH4 kg / L combustible  -   N20 kg / L comb.</t>
  </si>
  <si>
    <t>Generación electricidad/Bunker</t>
  </si>
  <si>
    <t>Manufactura y construcción/Gasolina,</t>
  </si>
  <si>
    <t>Manufactura y construcción/Diesel</t>
  </si>
  <si>
    <t>Manufactura y construcción/Bunker</t>
  </si>
  <si>
    <t>Manufactura y construcción/LPG</t>
  </si>
  <si>
    <t>Manufactura y construcción/Lubricante</t>
  </si>
  <si>
    <t>Comercial e institucional/Gasolina</t>
  </si>
  <si>
    <t>Comercial e institucional /Diesel</t>
  </si>
  <si>
    <t>Comercial e institucional /Bunker</t>
  </si>
  <si>
    <t>Comercial e institucional /LPG</t>
  </si>
  <si>
    <t>Comercial e institucional /Lubricante</t>
  </si>
  <si>
    <t>Residencial y agrícola/Gasolina,</t>
  </si>
  <si>
    <t>Residencial y agrícola  /Diesel</t>
  </si>
  <si>
    <t>Residencial y agrícola  /Bunker</t>
  </si>
  <si>
    <t>Residencial y agrícola /LPG</t>
  </si>
  <si>
    <t>Residencial y agrícola /Lubricante</t>
  </si>
  <si>
    <t>Transporte terrestre/gasolina /sin catalizador</t>
  </si>
  <si>
    <t>Transporte terrestre/gasolina /con catalizador</t>
  </si>
  <si>
    <t>Transporte terrestre/diesel /sin catalizador</t>
  </si>
  <si>
    <t>Transporte terrestre/LPG</t>
  </si>
  <si>
    <t>Transporte terrestre/Lubricante</t>
  </si>
  <si>
    <t>Todas las fuentes de combustión estacionaria/Biodiesel</t>
  </si>
  <si>
    <t>Sector IPPU</t>
  </si>
  <si>
    <t>Producción de cemento</t>
  </si>
  <si>
    <t>kg CO2/ kg clínker</t>
  </si>
  <si>
    <t>Producción de cal</t>
  </si>
  <si>
    <t>kg CO2/ kg cal</t>
  </si>
  <si>
    <t>Producción de vidrio</t>
  </si>
  <si>
    <t>kg CO2/kg vidrio</t>
  </si>
  <si>
    <t>Uso de lubricantes</t>
  </si>
  <si>
    <t>kg CO2/L de lubricante</t>
  </si>
  <si>
    <t>Sector Agricultura, silvicultura y otros usos de la tierra</t>
  </si>
  <si>
    <t>Cultivo de arroz( inundado, el ciclo de cultivo es 120 días)</t>
  </si>
  <si>
    <t>kgCH4/ha/día</t>
  </si>
  <si>
    <t>Ganadería: Proceso Digestivo de Ganado Vacuno</t>
  </si>
  <si>
    <t>Terneros para carne</t>
  </si>
  <si>
    <t>kg CH4/cabeza/año</t>
  </si>
  <si>
    <t>Terneros para leche</t>
  </si>
  <si>
    <t>Terneros doble propósito</t>
  </si>
  <si>
    <t>Hembras en crecimiento para carne</t>
  </si>
  <si>
    <t>Hembras en crecimiento para leche</t>
  </si>
  <si>
    <t>Hembras en crecimiento doble propósito</t>
  </si>
  <si>
    <t>Machos en crecimiento para carne</t>
  </si>
  <si>
    <t>Machos en crecimiento para leche</t>
  </si>
  <si>
    <t>Machos en crecimiento doble propósito</t>
  </si>
  <si>
    <t>Hembra adulta para carne</t>
  </si>
  <si>
    <t>Hembra adulta para leche</t>
  </si>
  <si>
    <t>Hembra adulta doble propósito</t>
  </si>
  <si>
    <t>Macho adulto para leche</t>
  </si>
  <si>
    <t>Macho adulto para carne</t>
  </si>
  <si>
    <t>Macho adulto doble propósito</t>
  </si>
  <si>
    <t>Otras especies</t>
  </si>
  <si>
    <t>Búfalos</t>
  </si>
  <si>
    <t>Ovejas</t>
  </si>
  <si>
    <t>Cabras</t>
  </si>
  <si>
    <t>Caballos</t>
  </si>
  <si>
    <t>Cerdos</t>
  </si>
  <si>
    <t>Ganadería: Manejo de estiércol</t>
  </si>
  <si>
    <t>Ganado</t>
  </si>
  <si>
    <t>Aves de corral</t>
  </si>
  <si>
    <t>Fuentes agregadas distintas al CO2</t>
  </si>
  <si>
    <t>Caña de azúcar (123 kg/ha)</t>
  </si>
  <si>
    <t>kg N2O/ ha/año</t>
  </si>
  <si>
    <t>Café sin sombra (200 kg/ha)</t>
  </si>
  <si>
    <t>Café con sombra</t>
  </si>
  <si>
    <t>Banano (300 kg/ha)</t>
  </si>
  <si>
    <t>Plátano</t>
  </si>
  <si>
    <t>Cebolla</t>
  </si>
  <si>
    <t>Papa</t>
  </si>
  <si>
    <t>Pastos: estrella africana</t>
  </si>
  <si>
    <t>Kikuyo (200 kg N/ha)</t>
  </si>
  <si>
    <t>Kikuyo sin fertilizar</t>
  </si>
  <si>
    <t>Ratana</t>
  </si>
  <si>
    <t>Jaragua</t>
  </si>
  <si>
    <t>Fuentes agregadas distintas al CO2 DE CÁLCULO PROPIO</t>
  </si>
  <si>
    <t>Cálculo propio con base en modelos de costos de producción del MAG y criterios del IPCC 2019 (Ver Anexo para AFOLU)</t>
  </si>
  <si>
    <t>Apio</t>
  </si>
  <si>
    <t>Ayote</t>
  </si>
  <si>
    <t>Camote</t>
  </si>
  <si>
    <t>Chile</t>
  </si>
  <si>
    <t>Frijol</t>
  </si>
  <si>
    <t>Guanábana</t>
  </si>
  <si>
    <t>Lechuga</t>
  </si>
  <si>
    <t>Maíz</t>
  </si>
  <si>
    <t>Tomate</t>
  </si>
  <si>
    <t>Piña</t>
  </si>
  <si>
    <t>Zuquini</t>
  </si>
  <si>
    <t>Limón</t>
  </si>
  <si>
    <t>Naranja</t>
  </si>
  <si>
    <t>Papaya</t>
  </si>
  <si>
    <t>Yuca</t>
  </si>
  <si>
    <t>Aplicación de Urea y cal</t>
  </si>
  <si>
    <t>IPCC V4, Ch11,N2O&amp;CO2. 2019/2006. pág 32 y 25</t>
  </si>
  <si>
    <t>Aplicación de Urea</t>
  </si>
  <si>
    <t>ton CO2/ton de urea/año</t>
  </si>
  <si>
    <t>Aplicación de Cal</t>
  </si>
  <si>
    <t>ton CO2/ton de cal/año</t>
  </si>
  <si>
    <t>Biomasa</t>
  </si>
  <si>
    <t>Uso de biomasas sólidas y gaseosas</t>
  </si>
  <si>
    <t>IPCC 2019, V2, CH1, introducción, cuadro 1.2, V2, CH2, Combustión Estacionaria, Cuadro 2.5.</t>
  </si>
  <si>
    <t>Uso de leña</t>
  </si>
  <si>
    <t>kg GEI/TJ/año</t>
  </si>
  <si>
    <t>Uso de biogás</t>
  </si>
  <si>
    <t>Entierro</t>
  </si>
  <si>
    <t>Entierro de residuos</t>
  </si>
  <si>
    <t xml:space="preserve"> IPCC 2019, volumen 5, Ch3, pág 14</t>
  </si>
  <si>
    <t>Gg CH4/Gg enterrado</t>
  </si>
  <si>
    <t>Incineración</t>
  </si>
  <si>
    <t>Incineración de residuos</t>
  </si>
  <si>
    <t>IPCC, V5, Ch5, pág 13, pág 24 2006. Ecuación 5.1 de la guía de implementación de comunidades, pág 73, PPCN 2.0.</t>
  </si>
  <si>
    <t>Quema de residuos</t>
  </si>
  <si>
    <t>Gg CO2/Gg incinerado</t>
  </si>
  <si>
    <t>kg CH4/Gg incinerado- kg N2O/Gg incinerado</t>
  </si>
  <si>
    <t>Aeróbico</t>
  </si>
  <si>
    <t>Tratamiento de AR por sistema Aerobico</t>
  </si>
  <si>
    <t>IPCC, 2019, V5, Ch6, cuadro 6.3 (domésticas) y 6.8 (industriales)</t>
  </si>
  <si>
    <t>Uso de sistemas aerobicos con aguas domésticas</t>
  </si>
  <si>
    <t>kg CH4/kg DQO</t>
  </si>
  <si>
    <t>Uso de sistemas aerobicos con aguas industriales</t>
  </si>
  <si>
    <t>Uso de alcantarillado sanitario doméstico</t>
  </si>
  <si>
    <t>Uso de parafina</t>
  </si>
  <si>
    <t>Uso de ceras de parafina</t>
  </si>
  <si>
    <t xml:space="preserve"> IPCC 2019, volumen 3, Ch5, pág 12</t>
  </si>
  <si>
    <t>ton CO2/TJ/año</t>
  </si>
  <si>
    <t>Quemas en charrales</t>
  </si>
  <si>
    <t>Quemas de charrales</t>
  </si>
  <si>
    <t>IPCC 2006, volumen 4, ch2, pág 2.42, tabla 2.5</t>
  </si>
  <si>
    <t>Quema de charrales</t>
  </si>
  <si>
    <t>Cuadro  2. Factores de referencia de la  IPCC Good Practice Guidelines*</t>
  </si>
  <si>
    <t>Aplicación</t>
  </si>
  <si>
    <t>Vida útil (years)</t>
  </si>
  <si>
    <t>Factores de emisión (% de carga inicial/año)</t>
  </si>
  <si>
    <t>Carga (kg)</t>
  </si>
  <si>
    <t>Montaje</t>
  </si>
  <si>
    <t>Tasa de fuga anual</t>
  </si>
  <si>
    <t>Eficiencia de reciclaje</t>
  </si>
  <si>
    <t>Refrigeración doméstica</t>
  </si>
  <si>
    <t>0.05 - 0.5</t>
  </si>
  <si>
    <t>12 - 15</t>
  </si>
  <si>
    <t>0.2 - 1 %</t>
  </si>
  <si>
    <t>0.1 - 0.5 %</t>
  </si>
  <si>
    <t>70% del remanente</t>
  </si>
  <si>
    <t xml:space="preserve">Aplicaciones comerciales Stand-Alone </t>
  </si>
  <si>
    <t>0.2 - 6</t>
  </si>
  <si>
    <t>8 - 12</t>
  </si>
  <si>
    <t>0.5 - 3 %</t>
  </si>
  <si>
    <t>1 - 10 %</t>
  </si>
  <si>
    <t>70 - 80% del remanente</t>
  </si>
  <si>
    <t>Refrigeración comercial mediana y larga</t>
  </si>
  <si>
    <t>50 - 2000</t>
  </si>
  <si>
    <t>7 - 10</t>
  </si>
  <si>
    <t>10 - 30 %</t>
  </si>
  <si>
    <t>80 - 90% del remanente</t>
  </si>
  <si>
    <t>Refrigeración para transporte</t>
  </si>
  <si>
    <t>3.0 - 8.0</t>
  </si>
  <si>
    <t>6 - 9</t>
  </si>
  <si>
    <t>15 - 50 %</t>
  </si>
  <si>
    <t>Industrial Refrigeration including Food Processing and Cold Storage</t>
  </si>
  <si>
    <t>10 - 10000</t>
  </si>
  <si>
    <t>10 - 20</t>
  </si>
  <si>
    <t>7 - 25 %</t>
  </si>
  <si>
    <t>Chillers</t>
  </si>
  <si>
    <t>10.0 - 2000</t>
  </si>
  <si>
    <t>10 - 30</t>
  </si>
  <si>
    <t>2 - 15 %</t>
  </si>
  <si>
    <t>80 - 95% del remanente</t>
  </si>
  <si>
    <t>Aire acondicionado residencial y comercial, incluyendo bombas de calor</t>
  </si>
  <si>
    <t>0.5 - 100</t>
  </si>
  <si>
    <t>10 - 15</t>
  </si>
  <si>
    <t>1 - 5 %</t>
  </si>
  <si>
    <t>Aire acondicionado móvil</t>
  </si>
  <si>
    <t xml:space="preserve">no disponible </t>
  </si>
  <si>
    <t>10 - 20 %</t>
  </si>
  <si>
    <t>* Estos valores son de la Guía sobre buenas prácticas de la IPCC y el manejo de incertidumbre en inventarios de  gases de efecto invernadero (2000). Estos valores son predeterminados y se proporcionan para fines de referencia debido a que su amplia gama puede dar lugar a resultados muy variables de cálculo. Si un valor se elige dentro del rango, ese valor debe ser utilizado consistentemente durante el período de reporte .Estos valores sólo deben utilizarse si no se dispone de datos específicos , pero un inventario que utiliza estos valores debe ser considerado preliminar.</t>
  </si>
  <si>
    <t>Cuadro 3. Potencial de calentamiento global de los principales gases y refrigerantes.</t>
  </si>
  <si>
    <t>Nombre común</t>
  </si>
  <si>
    <t>Fórmula química</t>
  </si>
  <si>
    <t>Potencial de calentamiento global (GWP)</t>
  </si>
  <si>
    <t>Dióxido de carbono</t>
  </si>
  <si>
    <r>
      <t>CO</t>
    </r>
    <r>
      <rPr>
        <vertAlign val="subscript"/>
        <sz val="12"/>
        <color indexed="8"/>
        <rFont val="Calibri"/>
        <family val="2"/>
        <scheme val="minor"/>
      </rPr>
      <t>2</t>
    </r>
    <r>
      <rPr>
        <sz val="12"/>
        <color indexed="8"/>
        <rFont val="Calibri"/>
        <family val="2"/>
        <scheme val="minor"/>
      </rPr>
      <t> </t>
    </r>
  </si>
  <si>
    <t>IPCC Second Assessment Report (1995)</t>
  </si>
  <si>
    <t>Metano</t>
  </si>
  <si>
    <r>
      <t>CH</t>
    </r>
    <r>
      <rPr>
        <vertAlign val="subscript"/>
        <sz val="12"/>
        <color indexed="8"/>
        <rFont val="Calibri"/>
        <family val="2"/>
        <scheme val="minor"/>
      </rPr>
      <t>4</t>
    </r>
    <r>
      <rPr>
        <sz val="12"/>
        <color indexed="8"/>
        <rFont val="Calibri"/>
        <family val="2"/>
        <scheme val="minor"/>
      </rPr>
      <t> </t>
    </r>
  </si>
  <si>
    <t>Óxido nitroso</t>
  </si>
  <si>
    <r>
      <t>N</t>
    </r>
    <r>
      <rPr>
        <vertAlign val="subscript"/>
        <sz val="12"/>
        <color indexed="8"/>
        <rFont val="Calibri"/>
        <family val="2"/>
        <scheme val="minor"/>
      </rPr>
      <t>2</t>
    </r>
    <r>
      <rPr>
        <sz val="12"/>
        <color indexed="8"/>
        <rFont val="Calibri"/>
        <family val="2"/>
        <scheme val="minor"/>
      </rPr>
      <t>O </t>
    </r>
  </si>
  <si>
    <t>Sustancias controladas por el Protocolo de Montreal</t>
  </si>
  <si>
    <t>CFC-11 / R11=Triclorofluorometano</t>
  </si>
  <si>
    <r>
      <t>CCl</t>
    </r>
    <r>
      <rPr>
        <vertAlign val="subscript"/>
        <sz val="12"/>
        <rFont val="Calibri"/>
        <family val="2"/>
        <scheme val="minor"/>
      </rPr>
      <t>3</t>
    </r>
    <r>
      <rPr>
        <sz val="12"/>
        <rFont val="Calibri"/>
        <family val="2"/>
        <scheme val="minor"/>
      </rPr>
      <t>F </t>
    </r>
  </si>
  <si>
    <t>4750 </t>
  </si>
  <si>
    <t>Working Group 1, IPCC Fourth Assessment Report.</t>
  </si>
  <si>
    <t>CFC-12 / R12= Diclorodifluorometano</t>
  </si>
  <si>
    <r>
      <t>CCl</t>
    </r>
    <r>
      <rPr>
        <vertAlign val="subscript"/>
        <sz val="12"/>
        <rFont val="Calibri"/>
        <family val="2"/>
        <scheme val="minor"/>
      </rPr>
      <t>2</t>
    </r>
    <r>
      <rPr>
        <sz val="12"/>
        <rFont val="Calibri"/>
        <family val="2"/>
        <scheme val="minor"/>
      </rPr>
      <t>F</t>
    </r>
    <r>
      <rPr>
        <vertAlign val="subscript"/>
        <sz val="12"/>
        <rFont val="Calibri"/>
        <family val="2"/>
        <scheme val="minor"/>
      </rPr>
      <t>2</t>
    </r>
    <r>
      <rPr>
        <sz val="12"/>
        <rFont val="Calibri"/>
        <family val="2"/>
        <scheme val="minor"/>
      </rPr>
      <t> </t>
    </r>
  </si>
  <si>
    <t>CFC-13 </t>
  </si>
  <si>
    <r>
      <t>CClF</t>
    </r>
    <r>
      <rPr>
        <vertAlign val="subscript"/>
        <sz val="12"/>
        <rFont val="Calibri"/>
        <family val="2"/>
        <scheme val="minor"/>
      </rPr>
      <t>3</t>
    </r>
    <r>
      <rPr>
        <sz val="12"/>
        <rFont val="Calibri"/>
        <family val="2"/>
        <scheme val="minor"/>
      </rPr>
      <t> </t>
    </r>
  </si>
  <si>
    <t>CFC-113 </t>
  </si>
  <si>
    <r>
      <t>CCl</t>
    </r>
    <r>
      <rPr>
        <vertAlign val="subscript"/>
        <sz val="12"/>
        <rFont val="Calibri"/>
        <family val="2"/>
        <scheme val="minor"/>
      </rPr>
      <t>2</t>
    </r>
    <r>
      <rPr>
        <sz val="12"/>
        <rFont val="Calibri"/>
        <family val="2"/>
        <scheme val="minor"/>
      </rPr>
      <t>FCClF</t>
    </r>
    <r>
      <rPr>
        <vertAlign val="subscript"/>
        <sz val="12"/>
        <rFont val="Calibri"/>
        <family val="2"/>
        <scheme val="minor"/>
      </rPr>
      <t>2</t>
    </r>
    <r>
      <rPr>
        <sz val="12"/>
        <rFont val="Calibri"/>
        <family val="2"/>
        <scheme val="minor"/>
      </rPr>
      <t> </t>
    </r>
  </si>
  <si>
    <t>CFC-114 </t>
  </si>
  <si>
    <r>
      <t>CClF</t>
    </r>
    <r>
      <rPr>
        <vertAlign val="subscript"/>
        <sz val="12"/>
        <rFont val="Calibri"/>
        <family val="2"/>
        <scheme val="minor"/>
      </rPr>
      <t>2</t>
    </r>
    <r>
      <rPr>
        <sz val="12"/>
        <rFont val="Calibri"/>
        <family val="2"/>
        <scheme val="minor"/>
      </rPr>
      <t>CClF</t>
    </r>
    <r>
      <rPr>
        <vertAlign val="subscript"/>
        <sz val="12"/>
        <rFont val="Calibri"/>
        <family val="2"/>
        <scheme val="minor"/>
      </rPr>
      <t>2</t>
    </r>
    <r>
      <rPr>
        <sz val="12"/>
        <rFont val="Calibri"/>
        <family val="2"/>
        <scheme val="minor"/>
      </rPr>
      <t> </t>
    </r>
  </si>
  <si>
    <t>CFC-115 </t>
  </si>
  <si>
    <r>
      <t>CClF</t>
    </r>
    <r>
      <rPr>
        <vertAlign val="subscript"/>
        <sz val="12"/>
        <rFont val="Calibri"/>
        <family val="2"/>
        <scheme val="minor"/>
      </rPr>
      <t>2</t>
    </r>
    <r>
      <rPr>
        <sz val="12"/>
        <rFont val="Calibri"/>
        <family val="2"/>
        <scheme val="minor"/>
      </rPr>
      <t>CF</t>
    </r>
    <r>
      <rPr>
        <vertAlign val="subscript"/>
        <sz val="12"/>
        <rFont val="Calibri"/>
        <family val="2"/>
        <scheme val="minor"/>
      </rPr>
      <t>3</t>
    </r>
    <r>
      <rPr>
        <sz val="12"/>
        <rFont val="Calibri"/>
        <family val="2"/>
        <scheme val="minor"/>
      </rPr>
      <t> </t>
    </r>
  </si>
  <si>
    <t>Halón-1301 </t>
  </si>
  <si>
    <r>
      <t>CBrF</t>
    </r>
    <r>
      <rPr>
        <vertAlign val="subscript"/>
        <sz val="12"/>
        <rFont val="Calibri"/>
        <family val="2"/>
        <scheme val="minor"/>
      </rPr>
      <t>3</t>
    </r>
    <r>
      <rPr>
        <sz val="12"/>
        <rFont val="Calibri"/>
        <family val="2"/>
        <scheme val="minor"/>
      </rPr>
      <t> </t>
    </r>
  </si>
  <si>
    <t>Halón-1211 </t>
  </si>
  <si>
    <r>
      <t>CBrClF</t>
    </r>
    <r>
      <rPr>
        <vertAlign val="subscript"/>
        <sz val="12"/>
        <rFont val="Calibri"/>
        <family val="2"/>
        <scheme val="minor"/>
      </rPr>
      <t>2</t>
    </r>
    <r>
      <rPr>
        <sz val="12"/>
        <rFont val="Calibri"/>
        <family val="2"/>
        <scheme val="minor"/>
      </rPr>
      <t> </t>
    </r>
  </si>
  <si>
    <t>Halón-2402 </t>
  </si>
  <si>
    <r>
      <t>CBrF</t>
    </r>
    <r>
      <rPr>
        <vertAlign val="subscript"/>
        <sz val="12"/>
        <rFont val="Calibri"/>
        <family val="2"/>
        <scheme val="minor"/>
      </rPr>
      <t>2</t>
    </r>
    <r>
      <rPr>
        <sz val="12"/>
        <rFont val="Calibri"/>
        <family val="2"/>
        <scheme val="minor"/>
      </rPr>
      <t>CBrF</t>
    </r>
    <r>
      <rPr>
        <vertAlign val="subscript"/>
        <sz val="12"/>
        <rFont val="Calibri"/>
        <family val="2"/>
        <scheme val="minor"/>
      </rPr>
      <t>2</t>
    </r>
    <r>
      <rPr>
        <sz val="12"/>
        <rFont val="Calibri"/>
        <family val="2"/>
        <scheme val="minor"/>
      </rPr>
      <t> </t>
    </r>
  </si>
  <si>
    <t>Tetracloruro de carbono</t>
  </si>
  <si>
    <r>
      <t>CCl</t>
    </r>
    <r>
      <rPr>
        <vertAlign val="subscript"/>
        <sz val="12"/>
        <rFont val="Calibri"/>
        <family val="2"/>
        <scheme val="minor"/>
      </rPr>
      <t>4</t>
    </r>
    <r>
      <rPr>
        <sz val="12"/>
        <rFont val="Calibri"/>
        <family val="2"/>
        <scheme val="minor"/>
      </rPr>
      <t> </t>
    </r>
  </si>
  <si>
    <t>Bromuro de metilo</t>
  </si>
  <si>
    <r>
      <t>CH</t>
    </r>
    <r>
      <rPr>
        <vertAlign val="subscript"/>
        <sz val="12"/>
        <rFont val="Calibri"/>
        <family val="2"/>
        <scheme val="minor"/>
      </rPr>
      <t>3</t>
    </r>
    <r>
      <rPr>
        <sz val="12"/>
        <rFont val="Calibri"/>
        <family val="2"/>
        <scheme val="minor"/>
      </rPr>
      <t>Br </t>
    </r>
  </si>
  <si>
    <t>5 </t>
  </si>
  <si>
    <t>Metilcloroformo</t>
  </si>
  <si>
    <r>
      <t>CH</t>
    </r>
    <r>
      <rPr>
        <vertAlign val="subscript"/>
        <sz val="12"/>
        <rFont val="Calibri"/>
        <family val="2"/>
        <scheme val="minor"/>
      </rPr>
      <t>3</t>
    </r>
    <r>
      <rPr>
        <sz val="12"/>
        <rFont val="Calibri"/>
        <family val="2"/>
        <scheme val="minor"/>
      </rPr>
      <t>CCl</t>
    </r>
    <r>
      <rPr>
        <vertAlign val="subscript"/>
        <sz val="12"/>
        <rFont val="Calibri"/>
        <family val="2"/>
        <scheme val="minor"/>
      </rPr>
      <t>3</t>
    </r>
    <r>
      <rPr>
        <sz val="12"/>
        <rFont val="Calibri"/>
        <family val="2"/>
        <scheme val="minor"/>
      </rPr>
      <t> </t>
    </r>
  </si>
  <si>
    <t>146 </t>
  </si>
  <si>
    <t>HCFC-21 </t>
  </si>
  <si>
    <r>
      <t>CHCl</t>
    </r>
    <r>
      <rPr>
        <vertAlign val="subscript"/>
        <sz val="12"/>
        <rFont val="Calibri"/>
        <family val="2"/>
        <scheme val="minor"/>
      </rPr>
      <t>2</t>
    </r>
    <r>
      <rPr>
        <sz val="12"/>
        <rFont val="Calibri"/>
        <family val="2"/>
        <scheme val="minor"/>
      </rPr>
      <t>F </t>
    </r>
  </si>
  <si>
    <t>151 </t>
  </si>
  <si>
    <t>HCFC-22 / R=22 Clorodifluorometano </t>
  </si>
  <si>
    <r>
      <t>CHClF</t>
    </r>
    <r>
      <rPr>
        <vertAlign val="subscript"/>
        <sz val="12"/>
        <rFont val="Calibri"/>
        <family val="2"/>
        <scheme val="minor"/>
      </rPr>
      <t>2</t>
    </r>
    <r>
      <rPr>
        <sz val="12"/>
        <rFont val="Calibri"/>
        <family val="2"/>
        <scheme val="minor"/>
      </rPr>
      <t> </t>
    </r>
  </si>
  <si>
    <t>HCFC-123 </t>
  </si>
  <si>
    <r>
      <t>CHCl</t>
    </r>
    <r>
      <rPr>
        <vertAlign val="subscript"/>
        <sz val="12"/>
        <rFont val="Calibri"/>
        <family val="2"/>
        <scheme val="minor"/>
      </rPr>
      <t>2</t>
    </r>
    <r>
      <rPr>
        <sz val="12"/>
        <rFont val="Calibri"/>
        <family val="2"/>
        <scheme val="minor"/>
      </rPr>
      <t>CF</t>
    </r>
    <r>
      <rPr>
        <vertAlign val="subscript"/>
        <sz val="12"/>
        <rFont val="Calibri"/>
        <family val="2"/>
        <scheme val="minor"/>
      </rPr>
      <t>3</t>
    </r>
    <r>
      <rPr>
        <sz val="12"/>
        <rFont val="Calibri"/>
        <family val="2"/>
        <scheme val="minor"/>
      </rPr>
      <t> </t>
    </r>
  </si>
  <si>
    <t>HFO514-R514a</t>
  </si>
  <si>
    <t>Opteon R514a</t>
  </si>
  <si>
    <t>HCFC-124 </t>
  </si>
  <si>
    <r>
      <t>CHClFCF</t>
    </r>
    <r>
      <rPr>
        <vertAlign val="subscript"/>
        <sz val="12"/>
        <rFont val="Calibri"/>
        <family val="2"/>
        <scheme val="minor"/>
      </rPr>
      <t>3</t>
    </r>
    <r>
      <rPr>
        <sz val="12"/>
        <rFont val="Calibri"/>
        <family val="2"/>
        <scheme val="minor"/>
      </rPr>
      <t> </t>
    </r>
  </si>
  <si>
    <t>609 </t>
  </si>
  <si>
    <t>HCFC-141b </t>
  </si>
  <si>
    <r>
      <t>CH</t>
    </r>
    <r>
      <rPr>
        <vertAlign val="subscript"/>
        <sz val="12"/>
        <rFont val="Calibri"/>
        <family val="2"/>
        <scheme val="minor"/>
      </rPr>
      <t>3</t>
    </r>
    <r>
      <rPr>
        <sz val="12"/>
        <rFont val="Calibri"/>
        <family val="2"/>
        <scheme val="minor"/>
      </rPr>
      <t>CCl</t>
    </r>
    <r>
      <rPr>
        <vertAlign val="subscript"/>
        <sz val="12"/>
        <rFont val="Calibri"/>
        <family val="2"/>
        <scheme val="minor"/>
      </rPr>
      <t>2</t>
    </r>
    <r>
      <rPr>
        <sz val="12"/>
        <rFont val="Calibri"/>
        <family val="2"/>
        <scheme val="minor"/>
      </rPr>
      <t>F </t>
    </r>
  </si>
  <si>
    <t>HCFC-142b </t>
  </si>
  <si>
    <r>
      <t>CH</t>
    </r>
    <r>
      <rPr>
        <vertAlign val="subscript"/>
        <sz val="12"/>
        <rFont val="Calibri"/>
        <family val="2"/>
        <scheme val="minor"/>
      </rPr>
      <t>3</t>
    </r>
    <r>
      <rPr>
        <sz val="12"/>
        <rFont val="Calibri"/>
        <family val="2"/>
        <scheme val="minor"/>
      </rPr>
      <t>CClF</t>
    </r>
    <r>
      <rPr>
        <vertAlign val="subscript"/>
        <sz val="12"/>
        <rFont val="Calibri"/>
        <family val="2"/>
        <scheme val="minor"/>
      </rPr>
      <t>2</t>
    </r>
    <r>
      <rPr>
        <sz val="12"/>
        <rFont val="Calibri"/>
        <family val="2"/>
        <scheme val="minor"/>
      </rPr>
      <t> </t>
    </r>
  </si>
  <si>
    <t>HCFC-225ca </t>
  </si>
  <si>
    <r>
      <t>CHCl</t>
    </r>
    <r>
      <rPr>
        <vertAlign val="subscript"/>
        <sz val="12"/>
        <rFont val="Calibri"/>
        <family val="2"/>
        <scheme val="minor"/>
      </rPr>
      <t>2</t>
    </r>
    <r>
      <rPr>
        <sz val="12"/>
        <rFont val="Calibri"/>
        <family val="2"/>
        <scheme val="minor"/>
      </rPr>
      <t>CF</t>
    </r>
    <r>
      <rPr>
        <vertAlign val="subscript"/>
        <sz val="12"/>
        <rFont val="Calibri"/>
        <family val="2"/>
        <scheme val="minor"/>
      </rPr>
      <t>2</t>
    </r>
    <r>
      <rPr>
        <sz val="12"/>
        <rFont val="Calibri"/>
        <family val="2"/>
        <scheme val="minor"/>
      </rPr>
      <t>CF</t>
    </r>
    <r>
      <rPr>
        <vertAlign val="subscript"/>
        <sz val="12"/>
        <rFont val="Calibri"/>
        <family val="2"/>
        <scheme val="minor"/>
      </rPr>
      <t>3</t>
    </r>
    <r>
      <rPr>
        <sz val="12"/>
        <rFont val="Calibri"/>
        <family val="2"/>
        <scheme val="minor"/>
      </rPr>
      <t> </t>
    </r>
  </si>
  <si>
    <t>122 </t>
  </si>
  <si>
    <t>HCFC-225cb </t>
  </si>
  <si>
    <r>
      <t>CHClFCF</t>
    </r>
    <r>
      <rPr>
        <vertAlign val="subscript"/>
        <sz val="12"/>
        <rFont val="Calibri"/>
        <family val="2"/>
        <scheme val="minor"/>
      </rPr>
      <t>2</t>
    </r>
    <r>
      <rPr>
        <sz val="12"/>
        <rFont val="Calibri"/>
        <family val="2"/>
        <scheme val="minor"/>
      </rPr>
      <t>CClF</t>
    </r>
    <r>
      <rPr>
        <vertAlign val="subscript"/>
        <sz val="12"/>
        <rFont val="Calibri"/>
        <family val="2"/>
        <scheme val="minor"/>
      </rPr>
      <t>2</t>
    </r>
    <r>
      <rPr>
        <sz val="12"/>
        <rFont val="Calibri"/>
        <family val="2"/>
        <scheme val="minor"/>
      </rPr>
      <t> </t>
    </r>
  </si>
  <si>
    <t>595 </t>
  </si>
  <si>
    <t>Hidrofluorocarbonos</t>
  </si>
  <si>
    <t>HFC-23 </t>
  </si>
  <si>
    <r>
      <t>CHF</t>
    </r>
    <r>
      <rPr>
        <vertAlign val="subscript"/>
        <sz val="12"/>
        <rFont val="Calibri"/>
        <family val="2"/>
        <scheme val="minor"/>
      </rPr>
      <t>3</t>
    </r>
    <r>
      <rPr>
        <sz val="12"/>
        <rFont val="Calibri"/>
        <family val="2"/>
        <scheme val="minor"/>
      </rPr>
      <t> </t>
    </r>
  </si>
  <si>
    <t>HFC-32 </t>
  </si>
  <si>
    <r>
      <t>CH</t>
    </r>
    <r>
      <rPr>
        <vertAlign val="subscript"/>
        <sz val="12"/>
        <rFont val="Calibri"/>
        <family val="2"/>
        <scheme val="minor"/>
      </rPr>
      <t>2</t>
    </r>
    <r>
      <rPr>
        <sz val="12"/>
        <rFont val="Calibri"/>
        <family val="2"/>
        <scheme val="minor"/>
      </rPr>
      <t>F</t>
    </r>
    <r>
      <rPr>
        <vertAlign val="subscript"/>
        <sz val="12"/>
        <rFont val="Calibri"/>
        <family val="2"/>
        <scheme val="minor"/>
      </rPr>
      <t>2</t>
    </r>
    <r>
      <rPr>
        <sz val="12"/>
        <rFont val="Calibri"/>
        <family val="2"/>
        <scheme val="minor"/>
      </rPr>
      <t> </t>
    </r>
  </si>
  <si>
    <t>650 </t>
  </si>
  <si>
    <t>HFC-41 </t>
  </si>
  <si>
    <r>
      <t>CH</t>
    </r>
    <r>
      <rPr>
        <vertAlign val="subscript"/>
        <sz val="12"/>
        <rFont val="Calibri"/>
        <family val="2"/>
        <scheme val="minor"/>
      </rPr>
      <t>3</t>
    </r>
    <r>
      <rPr>
        <sz val="12"/>
        <rFont val="Calibri"/>
        <family val="2"/>
        <scheme val="minor"/>
      </rPr>
      <t>F </t>
    </r>
  </si>
  <si>
    <t>150  </t>
  </si>
  <si>
    <t>HFC-125 </t>
  </si>
  <si>
    <r>
      <t>CHF</t>
    </r>
    <r>
      <rPr>
        <vertAlign val="subscript"/>
        <sz val="12"/>
        <rFont val="Calibri"/>
        <family val="2"/>
        <scheme val="minor"/>
      </rPr>
      <t>2</t>
    </r>
    <r>
      <rPr>
        <sz val="12"/>
        <rFont val="Calibri"/>
        <family val="2"/>
        <scheme val="minor"/>
      </rPr>
      <t>CF</t>
    </r>
    <r>
      <rPr>
        <vertAlign val="subscript"/>
        <sz val="12"/>
        <rFont val="Calibri"/>
        <family val="2"/>
        <scheme val="minor"/>
      </rPr>
      <t>3</t>
    </r>
    <r>
      <rPr>
        <sz val="12"/>
        <rFont val="Calibri"/>
        <family val="2"/>
        <scheme val="minor"/>
      </rPr>
      <t> </t>
    </r>
  </si>
  <si>
    <t>HFC-134 </t>
  </si>
  <si>
    <r>
      <t>CHF</t>
    </r>
    <r>
      <rPr>
        <vertAlign val="subscript"/>
        <sz val="12"/>
        <rFont val="Calibri"/>
        <family val="2"/>
        <scheme val="minor"/>
      </rPr>
      <t>2</t>
    </r>
    <r>
      <rPr>
        <sz val="12"/>
        <rFont val="Calibri"/>
        <family val="2"/>
        <scheme val="minor"/>
      </rPr>
      <t>CHF</t>
    </r>
    <r>
      <rPr>
        <vertAlign val="subscript"/>
        <sz val="12"/>
        <rFont val="Calibri"/>
        <family val="2"/>
        <scheme val="minor"/>
      </rPr>
      <t>2</t>
    </r>
    <r>
      <rPr>
        <sz val="12"/>
        <rFont val="Calibri"/>
        <family val="2"/>
        <scheme val="minor"/>
      </rPr>
      <t> </t>
    </r>
  </si>
  <si>
    <t>1000 </t>
  </si>
  <si>
    <t xml:space="preserve"> Tetrafluoroetano HFC-134a / R 134a </t>
  </si>
  <si>
    <r>
      <t>CH</t>
    </r>
    <r>
      <rPr>
        <vertAlign val="subscript"/>
        <sz val="12"/>
        <rFont val="Calibri"/>
        <family val="2"/>
        <scheme val="minor"/>
      </rPr>
      <t>2</t>
    </r>
    <r>
      <rPr>
        <sz val="12"/>
        <rFont val="Calibri"/>
        <family val="2"/>
        <scheme val="minor"/>
      </rPr>
      <t>FCF</t>
    </r>
    <r>
      <rPr>
        <vertAlign val="subscript"/>
        <sz val="12"/>
        <rFont val="Calibri"/>
        <family val="2"/>
        <scheme val="minor"/>
      </rPr>
      <t>3</t>
    </r>
    <r>
      <rPr>
        <sz val="12"/>
        <rFont val="Calibri"/>
        <family val="2"/>
        <scheme val="minor"/>
      </rPr>
      <t> </t>
    </r>
  </si>
  <si>
    <t>HFC-143 </t>
  </si>
  <si>
    <r>
      <t>CH</t>
    </r>
    <r>
      <rPr>
        <vertAlign val="subscript"/>
        <sz val="12"/>
        <rFont val="Calibri"/>
        <family val="2"/>
        <scheme val="minor"/>
      </rPr>
      <t>2</t>
    </r>
    <r>
      <rPr>
        <sz val="12"/>
        <rFont val="Calibri"/>
        <family val="2"/>
        <scheme val="minor"/>
      </rPr>
      <t>FCHF</t>
    </r>
    <r>
      <rPr>
        <vertAlign val="subscript"/>
        <sz val="12"/>
        <rFont val="Calibri"/>
        <family val="2"/>
        <scheme val="minor"/>
      </rPr>
      <t>2</t>
    </r>
    <r>
      <rPr>
        <sz val="12"/>
        <rFont val="Calibri"/>
        <family val="2"/>
        <scheme val="minor"/>
      </rPr>
      <t> </t>
    </r>
  </si>
  <si>
    <t>300  </t>
  </si>
  <si>
    <t>HFC-143a </t>
  </si>
  <si>
    <r>
      <t>CH</t>
    </r>
    <r>
      <rPr>
        <vertAlign val="subscript"/>
        <sz val="12"/>
        <rFont val="Calibri"/>
        <family val="2"/>
        <scheme val="minor"/>
      </rPr>
      <t>3</t>
    </r>
    <r>
      <rPr>
        <sz val="12"/>
        <rFont val="Calibri"/>
        <family val="2"/>
        <scheme val="minor"/>
      </rPr>
      <t>CF</t>
    </r>
    <r>
      <rPr>
        <vertAlign val="subscript"/>
        <sz val="12"/>
        <rFont val="Calibri"/>
        <family val="2"/>
        <scheme val="minor"/>
      </rPr>
      <t>3</t>
    </r>
    <r>
      <rPr>
        <sz val="12"/>
        <rFont val="Calibri"/>
        <family val="2"/>
        <scheme val="minor"/>
      </rPr>
      <t> </t>
    </r>
  </si>
  <si>
    <t>HFC-152 </t>
  </si>
  <si>
    <r>
      <t>CH</t>
    </r>
    <r>
      <rPr>
        <vertAlign val="subscript"/>
        <sz val="12"/>
        <rFont val="Calibri"/>
        <family val="2"/>
        <scheme val="minor"/>
      </rPr>
      <t>2</t>
    </r>
    <r>
      <rPr>
        <sz val="12"/>
        <rFont val="Calibri"/>
        <family val="2"/>
        <scheme val="minor"/>
      </rPr>
      <t>FCH</t>
    </r>
    <r>
      <rPr>
        <vertAlign val="subscript"/>
        <sz val="12"/>
        <rFont val="Calibri"/>
        <family val="2"/>
        <scheme val="minor"/>
      </rPr>
      <t>2</t>
    </r>
    <r>
      <rPr>
        <sz val="12"/>
        <rFont val="Calibri"/>
        <family val="2"/>
        <scheme val="minor"/>
      </rPr>
      <t>F </t>
    </r>
  </si>
  <si>
    <t>53  </t>
  </si>
  <si>
    <t>HFC-152a </t>
  </si>
  <si>
    <r>
      <t>CH</t>
    </r>
    <r>
      <rPr>
        <vertAlign val="subscript"/>
        <sz val="12"/>
        <color indexed="8"/>
        <rFont val="Calibri"/>
        <family val="2"/>
        <scheme val="minor"/>
      </rPr>
      <t>3</t>
    </r>
    <r>
      <rPr>
        <sz val="12"/>
        <color indexed="8"/>
        <rFont val="Calibri"/>
        <family val="2"/>
        <scheme val="minor"/>
      </rPr>
      <t>CHF</t>
    </r>
    <r>
      <rPr>
        <vertAlign val="subscript"/>
        <sz val="12"/>
        <color indexed="8"/>
        <rFont val="Calibri"/>
        <family val="2"/>
        <scheme val="minor"/>
      </rPr>
      <t>2</t>
    </r>
    <r>
      <rPr>
        <sz val="12"/>
        <color indexed="8"/>
        <rFont val="Calibri"/>
        <family val="2"/>
        <scheme val="minor"/>
      </rPr>
      <t> </t>
    </r>
  </si>
  <si>
    <t>140 </t>
  </si>
  <si>
    <t>HFC-161 </t>
  </si>
  <si>
    <r>
      <t>CH</t>
    </r>
    <r>
      <rPr>
        <vertAlign val="subscript"/>
        <sz val="12"/>
        <color indexed="8"/>
        <rFont val="Calibri"/>
        <family val="2"/>
        <scheme val="minor"/>
      </rPr>
      <t>3</t>
    </r>
    <r>
      <rPr>
        <sz val="12"/>
        <color indexed="8"/>
        <rFont val="Calibri"/>
        <family val="2"/>
        <scheme val="minor"/>
      </rPr>
      <t>CH</t>
    </r>
    <r>
      <rPr>
        <vertAlign val="subscript"/>
        <sz val="12"/>
        <color indexed="8"/>
        <rFont val="Calibri"/>
        <family val="2"/>
        <scheme val="minor"/>
      </rPr>
      <t>2</t>
    </r>
    <r>
      <rPr>
        <sz val="12"/>
        <color indexed="8"/>
        <rFont val="Calibri"/>
        <family val="2"/>
        <scheme val="minor"/>
      </rPr>
      <t>F </t>
    </r>
  </si>
  <si>
    <t>HFC-227ea </t>
  </si>
  <si>
    <r>
      <t>CF</t>
    </r>
    <r>
      <rPr>
        <vertAlign val="subscript"/>
        <sz val="12"/>
        <color indexed="8"/>
        <rFont val="Calibri"/>
        <family val="2"/>
        <scheme val="minor"/>
      </rPr>
      <t>3</t>
    </r>
    <r>
      <rPr>
        <sz val="12"/>
        <color indexed="8"/>
        <rFont val="Calibri"/>
        <family val="2"/>
        <scheme val="minor"/>
      </rPr>
      <t>CHFCF</t>
    </r>
    <r>
      <rPr>
        <vertAlign val="subscript"/>
        <sz val="12"/>
        <color indexed="8"/>
        <rFont val="Calibri"/>
        <family val="2"/>
        <scheme val="minor"/>
      </rPr>
      <t>3</t>
    </r>
    <r>
      <rPr>
        <sz val="12"/>
        <color indexed="8"/>
        <rFont val="Calibri"/>
        <family val="2"/>
        <scheme val="minor"/>
      </rPr>
      <t> </t>
    </r>
  </si>
  <si>
    <t>HFC-236cb </t>
  </si>
  <si>
    <r>
      <t>CH</t>
    </r>
    <r>
      <rPr>
        <vertAlign val="subscript"/>
        <sz val="12"/>
        <color indexed="8"/>
        <rFont val="Calibri"/>
        <family val="2"/>
        <scheme val="minor"/>
      </rPr>
      <t>2</t>
    </r>
    <r>
      <rPr>
        <sz val="12"/>
        <color indexed="8"/>
        <rFont val="Calibri"/>
        <family val="2"/>
        <scheme val="minor"/>
      </rPr>
      <t>FCF</t>
    </r>
    <r>
      <rPr>
        <vertAlign val="subscript"/>
        <sz val="12"/>
        <color indexed="8"/>
        <rFont val="Calibri"/>
        <family val="2"/>
        <scheme val="minor"/>
      </rPr>
      <t>2</t>
    </r>
    <r>
      <rPr>
        <sz val="12"/>
        <color indexed="8"/>
        <rFont val="Calibri"/>
        <family val="2"/>
        <scheme val="minor"/>
      </rPr>
      <t>CF</t>
    </r>
    <r>
      <rPr>
        <vertAlign val="subscript"/>
        <sz val="12"/>
        <color indexed="8"/>
        <rFont val="Calibri"/>
        <family val="2"/>
        <scheme val="minor"/>
      </rPr>
      <t>3</t>
    </r>
    <r>
      <rPr>
        <sz val="12"/>
        <color indexed="8"/>
        <rFont val="Calibri"/>
        <family val="2"/>
        <scheme val="minor"/>
      </rPr>
      <t> </t>
    </r>
  </si>
  <si>
    <t>HFC-236ea </t>
  </si>
  <si>
    <r>
      <t>CHF</t>
    </r>
    <r>
      <rPr>
        <vertAlign val="subscript"/>
        <sz val="12"/>
        <color indexed="8"/>
        <rFont val="Calibri"/>
        <family val="2"/>
        <scheme val="minor"/>
      </rPr>
      <t>2</t>
    </r>
    <r>
      <rPr>
        <sz val="12"/>
        <color indexed="8"/>
        <rFont val="Calibri"/>
        <family val="2"/>
        <scheme val="minor"/>
      </rPr>
      <t>CHFCF</t>
    </r>
    <r>
      <rPr>
        <vertAlign val="subscript"/>
        <sz val="12"/>
        <color indexed="8"/>
        <rFont val="Calibri"/>
        <family val="2"/>
        <scheme val="minor"/>
      </rPr>
      <t>3</t>
    </r>
    <r>
      <rPr>
        <sz val="12"/>
        <color indexed="8"/>
        <rFont val="Calibri"/>
        <family val="2"/>
        <scheme val="minor"/>
      </rPr>
      <t> </t>
    </r>
  </si>
  <si>
    <t>HFC-236fa </t>
  </si>
  <si>
    <r>
      <t>CF</t>
    </r>
    <r>
      <rPr>
        <vertAlign val="subscript"/>
        <sz val="12"/>
        <color indexed="8"/>
        <rFont val="Calibri"/>
        <family val="2"/>
        <scheme val="minor"/>
      </rPr>
      <t>3</t>
    </r>
    <r>
      <rPr>
        <sz val="12"/>
        <color indexed="8"/>
        <rFont val="Calibri"/>
        <family val="2"/>
        <scheme val="minor"/>
      </rPr>
      <t>CH</t>
    </r>
    <r>
      <rPr>
        <vertAlign val="subscript"/>
        <sz val="12"/>
        <color indexed="8"/>
        <rFont val="Calibri"/>
        <family val="2"/>
        <scheme val="minor"/>
      </rPr>
      <t>2</t>
    </r>
    <r>
      <rPr>
        <sz val="12"/>
        <color indexed="8"/>
        <rFont val="Calibri"/>
        <family val="2"/>
        <scheme val="minor"/>
      </rPr>
      <t>CF</t>
    </r>
    <r>
      <rPr>
        <vertAlign val="subscript"/>
        <sz val="12"/>
        <color indexed="8"/>
        <rFont val="Calibri"/>
        <family val="2"/>
        <scheme val="minor"/>
      </rPr>
      <t>3</t>
    </r>
    <r>
      <rPr>
        <sz val="12"/>
        <color indexed="8"/>
        <rFont val="Calibri"/>
        <family val="2"/>
        <scheme val="minor"/>
      </rPr>
      <t> </t>
    </r>
  </si>
  <si>
    <t>HFC-245ca </t>
  </si>
  <si>
    <r>
      <t>CH</t>
    </r>
    <r>
      <rPr>
        <vertAlign val="subscript"/>
        <sz val="12"/>
        <color indexed="8"/>
        <rFont val="Calibri"/>
        <family val="2"/>
        <scheme val="minor"/>
      </rPr>
      <t>2</t>
    </r>
    <r>
      <rPr>
        <sz val="12"/>
        <color indexed="8"/>
        <rFont val="Calibri"/>
        <family val="2"/>
        <scheme val="minor"/>
      </rPr>
      <t>FCF</t>
    </r>
    <r>
      <rPr>
        <vertAlign val="subscript"/>
        <sz val="12"/>
        <color indexed="8"/>
        <rFont val="Calibri"/>
        <family val="2"/>
        <scheme val="minor"/>
      </rPr>
      <t>2</t>
    </r>
    <r>
      <rPr>
        <sz val="12"/>
        <color indexed="8"/>
        <rFont val="Calibri"/>
        <family val="2"/>
        <scheme val="minor"/>
      </rPr>
      <t>CHF</t>
    </r>
    <r>
      <rPr>
        <vertAlign val="subscript"/>
        <sz val="12"/>
        <color indexed="8"/>
        <rFont val="Calibri"/>
        <family val="2"/>
        <scheme val="minor"/>
      </rPr>
      <t>2</t>
    </r>
    <r>
      <rPr>
        <sz val="12"/>
        <color indexed="8"/>
        <rFont val="Calibri"/>
        <family val="2"/>
        <scheme val="minor"/>
      </rPr>
      <t> </t>
    </r>
  </si>
  <si>
    <t>560 </t>
  </si>
  <si>
    <t>HFC-245fa </t>
  </si>
  <si>
    <r>
      <t>CHF</t>
    </r>
    <r>
      <rPr>
        <vertAlign val="subscript"/>
        <sz val="12"/>
        <color indexed="8"/>
        <rFont val="Calibri"/>
        <family val="2"/>
        <scheme val="minor"/>
      </rPr>
      <t>2</t>
    </r>
    <r>
      <rPr>
        <sz val="12"/>
        <color indexed="8"/>
        <rFont val="Calibri"/>
        <family val="2"/>
        <scheme val="minor"/>
      </rPr>
      <t>CH</t>
    </r>
    <r>
      <rPr>
        <vertAlign val="subscript"/>
        <sz val="12"/>
        <color indexed="8"/>
        <rFont val="Calibri"/>
        <family val="2"/>
        <scheme val="minor"/>
      </rPr>
      <t>2</t>
    </r>
    <r>
      <rPr>
        <sz val="12"/>
        <color indexed="8"/>
        <rFont val="Calibri"/>
        <family val="2"/>
        <scheme val="minor"/>
      </rPr>
      <t>CF</t>
    </r>
    <r>
      <rPr>
        <vertAlign val="subscript"/>
        <sz val="12"/>
        <color indexed="8"/>
        <rFont val="Calibri"/>
        <family val="2"/>
        <scheme val="minor"/>
      </rPr>
      <t>3</t>
    </r>
    <r>
      <rPr>
        <sz val="12"/>
        <color indexed="8"/>
        <rFont val="Calibri"/>
        <family val="2"/>
        <scheme val="minor"/>
      </rPr>
      <t> </t>
    </r>
  </si>
  <si>
    <t>HFC-365mfc </t>
  </si>
  <si>
    <r>
      <t>CH</t>
    </r>
    <r>
      <rPr>
        <vertAlign val="subscript"/>
        <sz val="12"/>
        <color indexed="8"/>
        <rFont val="Calibri"/>
        <family val="2"/>
        <scheme val="minor"/>
      </rPr>
      <t>3</t>
    </r>
    <r>
      <rPr>
        <sz val="12"/>
        <color indexed="8"/>
        <rFont val="Calibri"/>
        <family val="2"/>
        <scheme val="minor"/>
      </rPr>
      <t>CF</t>
    </r>
    <r>
      <rPr>
        <vertAlign val="subscript"/>
        <sz val="12"/>
        <color indexed="8"/>
        <rFont val="Calibri"/>
        <family val="2"/>
        <scheme val="minor"/>
      </rPr>
      <t>2</t>
    </r>
    <r>
      <rPr>
        <sz val="12"/>
        <color indexed="8"/>
        <rFont val="Calibri"/>
        <family val="2"/>
        <scheme val="minor"/>
      </rPr>
      <t>CH</t>
    </r>
    <r>
      <rPr>
        <vertAlign val="subscript"/>
        <sz val="12"/>
        <color indexed="8"/>
        <rFont val="Calibri"/>
        <family val="2"/>
        <scheme val="minor"/>
      </rPr>
      <t>2</t>
    </r>
    <r>
      <rPr>
        <sz val="12"/>
        <color indexed="8"/>
        <rFont val="Calibri"/>
        <family val="2"/>
        <scheme val="minor"/>
      </rPr>
      <t>CF</t>
    </r>
    <r>
      <rPr>
        <vertAlign val="subscript"/>
        <sz val="12"/>
        <color indexed="8"/>
        <rFont val="Calibri"/>
        <family val="2"/>
        <scheme val="minor"/>
      </rPr>
      <t>3</t>
    </r>
    <r>
      <rPr>
        <sz val="12"/>
        <color indexed="8"/>
        <rFont val="Calibri"/>
        <family val="2"/>
        <scheme val="minor"/>
      </rPr>
      <t> </t>
    </r>
  </si>
  <si>
    <t>794 </t>
  </si>
  <si>
    <t>HFC-43-10mee </t>
  </si>
  <si>
    <r>
      <t>CF</t>
    </r>
    <r>
      <rPr>
        <vertAlign val="subscript"/>
        <sz val="12"/>
        <color indexed="8"/>
        <rFont val="Calibri"/>
        <family val="2"/>
        <scheme val="minor"/>
      </rPr>
      <t>3</t>
    </r>
    <r>
      <rPr>
        <sz val="12"/>
        <color indexed="8"/>
        <rFont val="Calibri"/>
        <family val="2"/>
        <scheme val="minor"/>
      </rPr>
      <t>CHFCHFCF</t>
    </r>
    <r>
      <rPr>
        <vertAlign val="subscript"/>
        <sz val="12"/>
        <color indexed="8"/>
        <rFont val="Calibri"/>
        <family val="2"/>
        <scheme val="minor"/>
      </rPr>
      <t>2</t>
    </r>
    <r>
      <rPr>
        <sz val="12"/>
        <color indexed="8"/>
        <rFont val="Calibri"/>
        <family val="2"/>
        <scheme val="minor"/>
      </rPr>
      <t>CF</t>
    </r>
    <r>
      <rPr>
        <vertAlign val="subscript"/>
        <sz val="12"/>
        <color indexed="8"/>
        <rFont val="Calibri"/>
        <family val="2"/>
        <scheme val="minor"/>
      </rPr>
      <t>3</t>
    </r>
    <r>
      <rPr>
        <sz val="12"/>
        <color indexed="8"/>
        <rFont val="Calibri"/>
        <family val="2"/>
        <scheme val="minor"/>
      </rPr>
      <t> </t>
    </r>
  </si>
  <si>
    <t>Compuestos perfluorados</t>
  </si>
  <si>
    <t>Hexafluoruro de azufre</t>
  </si>
  <si>
    <r>
      <t>SF</t>
    </r>
    <r>
      <rPr>
        <vertAlign val="subscript"/>
        <sz val="12"/>
        <color indexed="8"/>
        <rFont val="Calibri"/>
        <family val="2"/>
        <scheme val="minor"/>
      </rPr>
      <t>6 </t>
    </r>
    <r>
      <rPr>
        <sz val="12"/>
        <color indexed="8"/>
        <rFont val="Calibri"/>
        <family val="2"/>
        <scheme val="minor"/>
      </rPr>
      <t> </t>
    </r>
  </si>
  <si>
    <t>Trifluoruro de nitrógeno</t>
  </si>
  <si>
    <r>
      <t>NF</t>
    </r>
    <r>
      <rPr>
        <vertAlign val="subscript"/>
        <sz val="12"/>
        <color indexed="8"/>
        <rFont val="Calibri"/>
        <family val="2"/>
        <scheme val="minor"/>
      </rPr>
      <t>3 </t>
    </r>
    <r>
      <rPr>
        <sz val="12"/>
        <color indexed="8"/>
        <rFont val="Calibri"/>
        <family val="2"/>
        <scheme val="minor"/>
      </rPr>
      <t> </t>
    </r>
  </si>
  <si>
    <t>Perfluorometano (PFC-14)  </t>
  </si>
  <si>
    <r>
      <t>CF</t>
    </r>
    <r>
      <rPr>
        <vertAlign val="subscript"/>
        <sz val="12"/>
        <color indexed="8"/>
        <rFont val="Calibri"/>
        <family val="2"/>
        <scheme val="minor"/>
      </rPr>
      <t>4 </t>
    </r>
    <r>
      <rPr>
        <sz val="12"/>
        <color indexed="8"/>
        <rFont val="Calibri"/>
        <family val="2"/>
        <scheme val="minor"/>
      </rPr>
      <t> </t>
    </r>
  </si>
  <si>
    <t>Perfluoroetano (PFC-116)  </t>
  </si>
  <si>
    <r>
      <t>C</t>
    </r>
    <r>
      <rPr>
        <vertAlign val="subscript"/>
        <sz val="12"/>
        <color indexed="8"/>
        <rFont val="Calibri"/>
        <family val="2"/>
        <scheme val="minor"/>
      </rPr>
      <t>2</t>
    </r>
    <r>
      <rPr>
        <sz val="12"/>
        <color indexed="8"/>
        <rFont val="Calibri"/>
        <family val="2"/>
        <scheme val="minor"/>
      </rPr>
      <t>F</t>
    </r>
    <r>
      <rPr>
        <vertAlign val="subscript"/>
        <sz val="12"/>
        <color indexed="8"/>
        <rFont val="Calibri"/>
        <family val="2"/>
        <scheme val="minor"/>
      </rPr>
      <t>6 </t>
    </r>
    <r>
      <rPr>
        <sz val="12"/>
        <color indexed="8"/>
        <rFont val="Calibri"/>
        <family val="2"/>
        <scheme val="minor"/>
      </rPr>
      <t> </t>
    </r>
  </si>
  <si>
    <t>Perfluoropropano (PFC-218)  </t>
  </si>
  <si>
    <r>
      <t>C</t>
    </r>
    <r>
      <rPr>
        <vertAlign val="subscript"/>
        <sz val="12"/>
        <color indexed="8"/>
        <rFont val="Calibri"/>
        <family val="2"/>
        <scheme val="minor"/>
      </rPr>
      <t>3</t>
    </r>
    <r>
      <rPr>
        <sz val="12"/>
        <color indexed="8"/>
        <rFont val="Calibri"/>
        <family val="2"/>
        <scheme val="minor"/>
      </rPr>
      <t>F</t>
    </r>
    <r>
      <rPr>
        <vertAlign val="subscript"/>
        <sz val="12"/>
        <color indexed="8"/>
        <rFont val="Calibri"/>
        <family val="2"/>
        <scheme val="minor"/>
      </rPr>
      <t>8 </t>
    </r>
    <r>
      <rPr>
        <sz val="12"/>
        <color indexed="8"/>
        <rFont val="Calibri"/>
        <family val="2"/>
        <scheme val="minor"/>
      </rPr>
      <t> </t>
    </r>
  </si>
  <si>
    <t>Perfluorociclobutano (PFC-318)  </t>
  </si>
  <si>
    <r>
      <t>c-C</t>
    </r>
    <r>
      <rPr>
        <vertAlign val="subscript"/>
        <sz val="12"/>
        <color indexed="8"/>
        <rFont val="Calibri"/>
        <family val="2"/>
        <scheme val="minor"/>
      </rPr>
      <t>4</t>
    </r>
    <r>
      <rPr>
        <sz val="12"/>
        <color indexed="8"/>
        <rFont val="Calibri"/>
        <family val="2"/>
        <scheme val="minor"/>
      </rPr>
      <t>F</t>
    </r>
    <r>
      <rPr>
        <vertAlign val="subscript"/>
        <sz val="12"/>
        <color indexed="8"/>
        <rFont val="Calibri"/>
        <family val="2"/>
        <scheme val="minor"/>
      </rPr>
      <t>8 </t>
    </r>
    <r>
      <rPr>
        <sz val="12"/>
        <color indexed="8"/>
        <rFont val="Calibri"/>
        <family val="2"/>
        <scheme val="minor"/>
      </rPr>
      <t> </t>
    </r>
  </si>
  <si>
    <t>Perfluorobutano (PFC-3-1-10)  </t>
  </si>
  <si>
    <r>
      <t>C</t>
    </r>
    <r>
      <rPr>
        <vertAlign val="subscript"/>
        <sz val="12"/>
        <color indexed="8"/>
        <rFont val="Calibri"/>
        <family val="2"/>
        <scheme val="minor"/>
      </rPr>
      <t>4</t>
    </r>
    <r>
      <rPr>
        <sz val="12"/>
        <color indexed="8"/>
        <rFont val="Calibri"/>
        <family val="2"/>
        <scheme val="minor"/>
      </rPr>
      <t>F</t>
    </r>
    <r>
      <rPr>
        <vertAlign val="subscript"/>
        <sz val="12"/>
        <color indexed="8"/>
        <rFont val="Calibri"/>
        <family val="2"/>
        <scheme val="minor"/>
      </rPr>
      <t>10 </t>
    </r>
    <r>
      <rPr>
        <sz val="12"/>
        <color indexed="8"/>
        <rFont val="Calibri"/>
        <family val="2"/>
        <scheme val="minor"/>
      </rPr>
      <t> </t>
    </r>
  </si>
  <si>
    <t>Perfluoropentano (PFC-4-1-12)  </t>
  </si>
  <si>
    <r>
      <t>C</t>
    </r>
    <r>
      <rPr>
        <vertAlign val="subscript"/>
        <sz val="12"/>
        <color indexed="8"/>
        <rFont val="Calibri"/>
        <family val="2"/>
        <scheme val="minor"/>
      </rPr>
      <t>5</t>
    </r>
    <r>
      <rPr>
        <sz val="12"/>
        <color indexed="8"/>
        <rFont val="Calibri"/>
        <family val="2"/>
        <scheme val="minor"/>
      </rPr>
      <t>F</t>
    </r>
    <r>
      <rPr>
        <vertAlign val="subscript"/>
        <sz val="12"/>
        <color indexed="8"/>
        <rFont val="Calibri"/>
        <family val="2"/>
        <scheme val="minor"/>
      </rPr>
      <t>12 </t>
    </r>
    <r>
      <rPr>
        <sz val="12"/>
        <color indexed="8"/>
        <rFont val="Calibri"/>
        <family val="2"/>
        <scheme val="minor"/>
      </rPr>
      <t> </t>
    </r>
  </si>
  <si>
    <t>Perfluorohexano (PFC-5-1-14)  </t>
  </si>
  <si>
    <r>
      <t>C</t>
    </r>
    <r>
      <rPr>
        <vertAlign val="subscript"/>
        <sz val="12"/>
        <color indexed="8"/>
        <rFont val="Calibri"/>
        <family val="2"/>
        <scheme val="minor"/>
      </rPr>
      <t>6</t>
    </r>
    <r>
      <rPr>
        <sz val="12"/>
        <color indexed="8"/>
        <rFont val="Calibri"/>
        <family val="2"/>
        <scheme val="minor"/>
      </rPr>
      <t>F</t>
    </r>
    <r>
      <rPr>
        <vertAlign val="subscript"/>
        <sz val="12"/>
        <color indexed="8"/>
        <rFont val="Calibri"/>
        <family val="2"/>
        <scheme val="minor"/>
      </rPr>
      <t>14 </t>
    </r>
    <r>
      <rPr>
        <sz val="12"/>
        <color indexed="8"/>
        <rFont val="Calibri"/>
        <family val="2"/>
        <scheme val="minor"/>
      </rPr>
      <t> </t>
    </r>
  </si>
  <si>
    <t>PFC-9-1-18  </t>
  </si>
  <si>
    <r>
      <t>C</t>
    </r>
    <r>
      <rPr>
        <vertAlign val="subscript"/>
        <sz val="12"/>
        <color indexed="8"/>
        <rFont val="Calibri"/>
        <family val="2"/>
        <scheme val="minor"/>
      </rPr>
      <t>10</t>
    </r>
    <r>
      <rPr>
        <sz val="12"/>
        <color indexed="8"/>
        <rFont val="Calibri"/>
        <family val="2"/>
        <scheme val="minor"/>
      </rPr>
      <t>F</t>
    </r>
    <r>
      <rPr>
        <vertAlign val="subscript"/>
        <sz val="12"/>
        <color indexed="8"/>
        <rFont val="Calibri"/>
        <family val="2"/>
        <scheme val="minor"/>
      </rPr>
      <t>18 </t>
    </r>
    <r>
      <rPr>
        <sz val="12"/>
        <color indexed="8"/>
        <rFont val="Calibri"/>
        <family val="2"/>
        <scheme val="minor"/>
      </rPr>
      <t> </t>
    </r>
  </si>
  <si>
    <t>&gt;7500</t>
  </si>
  <si>
    <t>trifluorometil pentafluoruro de azufre</t>
  </si>
  <si>
    <r>
      <t>SF</t>
    </r>
    <r>
      <rPr>
        <vertAlign val="subscript"/>
        <sz val="12"/>
        <color indexed="8"/>
        <rFont val="Calibri"/>
        <family val="2"/>
        <scheme val="minor"/>
      </rPr>
      <t>5</t>
    </r>
    <r>
      <rPr>
        <sz val="12"/>
        <color indexed="8"/>
        <rFont val="Calibri"/>
        <family val="2"/>
        <scheme val="minor"/>
      </rPr>
      <t>CF</t>
    </r>
    <r>
      <rPr>
        <vertAlign val="subscript"/>
        <sz val="12"/>
        <color indexed="8"/>
        <rFont val="Calibri"/>
        <family val="2"/>
        <scheme val="minor"/>
      </rPr>
      <t>3 </t>
    </r>
    <r>
      <rPr>
        <sz val="12"/>
        <color indexed="8"/>
        <rFont val="Calibri"/>
        <family val="2"/>
        <scheme val="minor"/>
      </rPr>
      <t> </t>
    </r>
  </si>
  <si>
    <t>Perfluorocyclopropano</t>
  </si>
  <si>
    <r>
      <t>c-C</t>
    </r>
    <r>
      <rPr>
        <vertAlign val="subscript"/>
        <sz val="12"/>
        <color indexed="8"/>
        <rFont val="Calibri"/>
        <family val="2"/>
        <scheme val="minor"/>
      </rPr>
      <t>3</t>
    </r>
    <r>
      <rPr>
        <sz val="12"/>
        <color indexed="8"/>
        <rFont val="Calibri"/>
        <family val="2"/>
        <scheme val="minor"/>
      </rPr>
      <t>F</t>
    </r>
    <r>
      <rPr>
        <vertAlign val="subscript"/>
        <sz val="12"/>
        <color indexed="8"/>
        <rFont val="Calibri"/>
        <family val="2"/>
        <scheme val="minor"/>
      </rPr>
      <t>6 </t>
    </r>
    <r>
      <rPr>
        <sz val="12"/>
        <color indexed="8"/>
        <rFont val="Calibri"/>
        <family val="2"/>
        <scheme val="minor"/>
      </rPr>
      <t> </t>
    </r>
  </si>
  <si>
    <t>&gt;17340</t>
  </si>
  <si>
    <t>Éters fluorados</t>
  </si>
  <si>
    <t>HFE-125  </t>
  </si>
  <si>
    <r>
      <t>CHF</t>
    </r>
    <r>
      <rPr>
        <vertAlign val="subscript"/>
        <sz val="12"/>
        <rFont val="Calibri"/>
        <family val="2"/>
        <scheme val="minor"/>
      </rPr>
      <t>2</t>
    </r>
    <r>
      <rPr>
        <sz val="12"/>
        <rFont val="Calibri"/>
        <family val="2"/>
        <scheme val="minor"/>
      </rPr>
      <t>OCF</t>
    </r>
    <r>
      <rPr>
        <vertAlign val="subscript"/>
        <sz val="12"/>
        <rFont val="Calibri"/>
        <family val="2"/>
        <scheme val="minor"/>
      </rPr>
      <t>3 </t>
    </r>
    <r>
      <rPr>
        <sz val="12"/>
        <rFont val="Calibri"/>
        <family val="2"/>
        <scheme val="minor"/>
      </rPr>
      <t> </t>
    </r>
  </si>
  <si>
    <t>HFE-134  </t>
  </si>
  <si>
    <r>
      <t>CHF</t>
    </r>
    <r>
      <rPr>
        <vertAlign val="subscript"/>
        <sz val="12"/>
        <rFont val="Calibri"/>
        <family val="2"/>
        <scheme val="minor"/>
      </rPr>
      <t>2</t>
    </r>
    <r>
      <rPr>
        <sz val="12"/>
        <rFont val="Calibri"/>
        <family val="2"/>
        <scheme val="minor"/>
      </rPr>
      <t>OCHF</t>
    </r>
    <r>
      <rPr>
        <vertAlign val="subscript"/>
        <sz val="12"/>
        <rFont val="Calibri"/>
        <family val="2"/>
        <scheme val="minor"/>
      </rPr>
      <t>2 </t>
    </r>
    <r>
      <rPr>
        <sz val="12"/>
        <rFont val="Calibri"/>
        <family val="2"/>
        <scheme val="minor"/>
      </rPr>
      <t> </t>
    </r>
  </si>
  <si>
    <t>HFE-143a  </t>
  </si>
  <si>
    <r>
      <t>CH</t>
    </r>
    <r>
      <rPr>
        <vertAlign val="subscript"/>
        <sz val="12"/>
        <rFont val="Calibri"/>
        <family val="2"/>
        <scheme val="minor"/>
      </rPr>
      <t>3</t>
    </r>
    <r>
      <rPr>
        <sz val="12"/>
        <rFont val="Calibri"/>
        <family val="2"/>
        <scheme val="minor"/>
      </rPr>
      <t>OCF</t>
    </r>
    <r>
      <rPr>
        <vertAlign val="subscript"/>
        <sz val="12"/>
        <rFont val="Calibri"/>
        <family val="2"/>
        <scheme val="minor"/>
      </rPr>
      <t>3 </t>
    </r>
    <r>
      <rPr>
        <sz val="12"/>
        <rFont val="Calibri"/>
        <family val="2"/>
        <scheme val="minor"/>
      </rPr>
      <t> </t>
    </r>
  </si>
  <si>
    <t>756  </t>
  </si>
  <si>
    <t>HCFE-235da2  </t>
  </si>
  <si>
    <r>
      <t>CHF</t>
    </r>
    <r>
      <rPr>
        <vertAlign val="subscript"/>
        <sz val="12"/>
        <rFont val="Calibri"/>
        <family val="2"/>
        <scheme val="minor"/>
      </rPr>
      <t>2</t>
    </r>
    <r>
      <rPr>
        <sz val="12"/>
        <rFont val="Calibri"/>
        <family val="2"/>
        <scheme val="minor"/>
      </rPr>
      <t>OCHClCF</t>
    </r>
    <r>
      <rPr>
        <vertAlign val="subscript"/>
        <sz val="12"/>
        <rFont val="Calibri"/>
        <family val="2"/>
        <scheme val="minor"/>
      </rPr>
      <t>3 </t>
    </r>
    <r>
      <rPr>
        <sz val="12"/>
        <rFont val="Calibri"/>
        <family val="2"/>
        <scheme val="minor"/>
      </rPr>
      <t> </t>
    </r>
  </si>
  <si>
    <t>350  </t>
  </si>
  <si>
    <t>HFE-245cb2  </t>
  </si>
  <si>
    <r>
      <t>CH</t>
    </r>
    <r>
      <rPr>
        <vertAlign val="subscript"/>
        <sz val="12"/>
        <rFont val="Calibri"/>
        <family val="2"/>
        <scheme val="minor"/>
      </rPr>
      <t>3</t>
    </r>
    <r>
      <rPr>
        <sz val="12"/>
        <rFont val="Calibri"/>
        <family val="2"/>
        <scheme val="minor"/>
      </rPr>
      <t>OCF</t>
    </r>
    <r>
      <rPr>
        <vertAlign val="subscript"/>
        <sz val="12"/>
        <rFont val="Calibri"/>
        <family val="2"/>
        <scheme val="minor"/>
      </rPr>
      <t>2</t>
    </r>
    <r>
      <rPr>
        <sz val="12"/>
        <rFont val="Calibri"/>
        <family val="2"/>
        <scheme val="minor"/>
      </rPr>
      <t>CF</t>
    </r>
    <r>
      <rPr>
        <vertAlign val="subscript"/>
        <sz val="12"/>
        <rFont val="Calibri"/>
        <family val="2"/>
        <scheme val="minor"/>
      </rPr>
      <t>3 </t>
    </r>
    <r>
      <rPr>
        <sz val="12"/>
        <rFont val="Calibri"/>
        <family val="2"/>
        <scheme val="minor"/>
      </rPr>
      <t> </t>
    </r>
  </si>
  <si>
    <t>708  </t>
  </si>
  <si>
    <t>HFE-245fa2  </t>
  </si>
  <si>
    <r>
      <t>CHF</t>
    </r>
    <r>
      <rPr>
        <vertAlign val="subscript"/>
        <sz val="12"/>
        <rFont val="Calibri"/>
        <family val="2"/>
        <scheme val="minor"/>
      </rPr>
      <t>2</t>
    </r>
    <r>
      <rPr>
        <sz val="12"/>
        <rFont val="Calibri"/>
        <family val="2"/>
        <scheme val="minor"/>
      </rPr>
      <t>OCH</t>
    </r>
    <r>
      <rPr>
        <vertAlign val="subscript"/>
        <sz val="12"/>
        <rFont val="Calibri"/>
        <family val="2"/>
        <scheme val="minor"/>
      </rPr>
      <t>2</t>
    </r>
    <r>
      <rPr>
        <sz val="12"/>
        <rFont val="Calibri"/>
        <family val="2"/>
        <scheme val="minor"/>
      </rPr>
      <t>CF</t>
    </r>
    <r>
      <rPr>
        <vertAlign val="subscript"/>
        <sz val="12"/>
        <rFont val="Calibri"/>
        <family val="2"/>
        <scheme val="minor"/>
      </rPr>
      <t>3 </t>
    </r>
    <r>
      <rPr>
        <sz val="12"/>
        <rFont val="Calibri"/>
        <family val="2"/>
        <scheme val="minor"/>
      </rPr>
      <t> </t>
    </r>
  </si>
  <si>
    <t>659  </t>
  </si>
  <si>
    <t>HFE-254cb2  </t>
  </si>
  <si>
    <r>
      <t>CH</t>
    </r>
    <r>
      <rPr>
        <vertAlign val="subscript"/>
        <sz val="12"/>
        <rFont val="Calibri"/>
        <family val="2"/>
        <scheme val="minor"/>
      </rPr>
      <t>3</t>
    </r>
    <r>
      <rPr>
        <sz val="12"/>
        <rFont val="Calibri"/>
        <family val="2"/>
        <scheme val="minor"/>
      </rPr>
      <t>OCF</t>
    </r>
    <r>
      <rPr>
        <vertAlign val="subscript"/>
        <sz val="12"/>
        <rFont val="Calibri"/>
        <family val="2"/>
        <scheme val="minor"/>
      </rPr>
      <t>2</t>
    </r>
    <r>
      <rPr>
        <sz val="12"/>
        <rFont val="Calibri"/>
        <family val="2"/>
        <scheme val="minor"/>
      </rPr>
      <t>CHF</t>
    </r>
    <r>
      <rPr>
        <vertAlign val="subscript"/>
        <sz val="12"/>
        <rFont val="Calibri"/>
        <family val="2"/>
        <scheme val="minor"/>
      </rPr>
      <t>2 </t>
    </r>
    <r>
      <rPr>
        <sz val="12"/>
        <rFont val="Calibri"/>
        <family val="2"/>
        <scheme val="minor"/>
      </rPr>
      <t> </t>
    </r>
  </si>
  <si>
    <t>359  </t>
  </si>
  <si>
    <t>HFE-347mcc3  </t>
  </si>
  <si>
    <r>
      <t>CH</t>
    </r>
    <r>
      <rPr>
        <vertAlign val="subscript"/>
        <sz val="12"/>
        <rFont val="Calibri"/>
        <family val="2"/>
        <scheme val="minor"/>
      </rPr>
      <t>3</t>
    </r>
    <r>
      <rPr>
        <sz val="12"/>
        <rFont val="Calibri"/>
        <family val="2"/>
        <scheme val="minor"/>
      </rPr>
      <t>OCF</t>
    </r>
    <r>
      <rPr>
        <vertAlign val="subscript"/>
        <sz val="12"/>
        <rFont val="Calibri"/>
        <family val="2"/>
        <scheme val="minor"/>
      </rPr>
      <t>2</t>
    </r>
    <r>
      <rPr>
        <sz val="12"/>
        <rFont val="Calibri"/>
        <family val="2"/>
        <scheme val="minor"/>
      </rPr>
      <t>CF</t>
    </r>
    <r>
      <rPr>
        <vertAlign val="subscript"/>
        <sz val="12"/>
        <rFont val="Calibri"/>
        <family val="2"/>
        <scheme val="minor"/>
      </rPr>
      <t>2</t>
    </r>
    <r>
      <rPr>
        <sz val="12"/>
        <rFont val="Calibri"/>
        <family val="2"/>
        <scheme val="minor"/>
      </rPr>
      <t>CF</t>
    </r>
    <r>
      <rPr>
        <vertAlign val="subscript"/>
        <sz val="12"/>
        <rFont val="Calibri"/>
        <family val="2"/>
        <scheme val="minor"/>
      </rPr>
      <t>3 </t>
    </r>
    <r>
      <rPr>
        <sz val="12"/>
        <rFont val="Calibri"/>
        <family val="2"/>
        <scheme val="minor"/>
      </rPr>
      <t> </t>
    </r>
  </si>
  <si>
    <t>575  </t>
  </si>
  <si>
    <t>HFE-347pcf2  </t>
  </si>
  <si>
    <r>
      <t>CHF</t>
    </r>
    <r>
      <rPr>
        <vertAlign val="subscript"/>
        <sz val="12"/>
        <rFont val="Calibri"/>
        <family val="2"/>
        <scheme val="minor"/>
      </rPr>
      <t>2</t>
    </r>
    <r>
      <rPr>
        <sz val="12"/>
        <rFont val="Calibri"/>
        <family val="2"/>
        <scheme val="minor"/>
      </rPr>
      <t>CF</t>
    </r>
    <r>
      <rPr>
        <vertAlign val="subscript"/>
        <sz val="12"/>
        <rFont val="Calibri"/>
        <family val="2"/>
        <scheme val="minor"/>
      </rPr>
      <t>2</t>
    </r>
    <r>
      <rPr>
        <sz val="12"/>
        <rFont val="Calibri"/>
        <family val="2"/>
        <scheme val="minor"/>
      </rPr>
      <t>OCH</t>
    </r>
    <r>
      <rPr>
        <vertAlign val="subscript"/>
        <sz val="12"/>
        <rFont val="Calibri"/>
        <family val="2"/>
        <scheme val="minor"/>
      </rPr>
      <t>2</t>
    </r>
    <r>
      <rPr>
        <sz val="12"/>
        <rFont val="Calibri"/>
        <family val="2"/>
        <scheme val="minor"/>
      </rPr>
      <t>CF</t>
    </r>
    <r>
      <rPr>
        <vertAlign val="subscript"/>
        <sz val="12"/>
        <rFont val="Calibri"/>
        <family val="2"/>
        <scheme val="minor"/>
      </rPr>
      <t>3 </t>
    </r>
    <r>
      <rPr>
        <sz val="12"/>
        <rFont val="Calibri"/>
        <family val="2"/>
        <scheme val="minor"/>
      </rPr>
      <t> </t>
    </r>
  </si>
  <si>
    <t>580  </t>
  </si>
  <si>
    <t>HFE-356pcc3  </t>
  </si>
  <si>
    <r>
      <t>CH</t>
    </r>
    <r>
      <rPr>
        <vertAlign val="subscript"/>
        <sz val="12"/>
        <rFont val="Calibri"/>
        <family val="2"/>
        <scheme val="minor"/>
      </rPr>
      <t>3</t>
    </r>
    <r>
      <rPr>
        <sz val="12"/>
        <rFont val="Calibri"/>
        <family val="2"/>
        <scheme val="minor"/>
      </rPr>
      <t>OCF</t>
    </r>
    <r>
      <rPr>
        <vertAlign val="subscript"/>
        <sz val="12"/>
        <rFont val="Calibri"/>
        <family val="2"/>
        <scheme val="minor"/>
      </rPr>
      <t>2</t>
    </r>
    <r>
      <rPr>
        <sz val="12"/>
        <rFont val="Calibri"/>
        <family val="2"/>
        <scheme val="minor"/>
      </rPr>
      <t>CF</t>
    </r>
    <r>
      <rPr>
        <vertAlign val="subscript"/>
        <sz val="12"/>
        <rFont val="Calibri"/>
        <family val="2"/>
        <scheme val="minor"/>
      </rPr>
      <t>2</t>
    </r>
    <r>
      <rPr>
        <sz val="12"/>
        <rFont val="Calibri"/>
        <family val="2"/>
        <scheme val="minor"/>
      </rPr>
      <t>CHF</t>
    </r>
    <r>
      <rPr>
        <vertAlign val="subscript"/>
        <sz val="12"/>
        <rFont val="Calibri"/>
        <family val="2"/>
        <scheme val="minor"/>
      </rPr>
      <t>2</t>
    </r>
    <r>
      <rPr>
        <sz val="12"/>
        <rFont val="Calibri"/>
        <family val="2"/>
        <scheme val="minor"/>
      </rPr>
      <t>  </t>
    </r>
  </si>
  <si>
    <t>110  </t>
  </si>
  <si>
    <t>HFE-449sl (HFE-7100)  </t>
  </si>
  <si>
    <r>
      <t>C</t>
    </r>
    <r>
      <rPr>
        <vertAlign val="subscript"/>
        <sz val="12"/>
        <rFont val="Calibri"/>
        <family val="2"/>
        <scheme val="minor"/>
      </rPr>
      <t>4</t>
    </r>
    <r>
      <rPr>
        <sz val="12"/>
        <rFont val="Calibri"/>
        <family val="2"/>
        <scheme val="minor"/>
      </rPr>
      <t>F</t>
    </r>
    <r>
      <rPr>
        <vertAlign val="subscript"/>
        <sz val="12"/>
        <rFont val="Calibri"/>
        <family val="2"/>
        <scheme val="minor"/>
      </rPr>
      <t>9</t>
    </r>
    <r>
      <rPr>
        <sz val="12"/>
        <rFont val="Calibri"/>
        <family val="2"/>
        <scheme val="minor"/>
      </rPr>
      <t>OCH</t>
    </r>
    <r>
      <rPr>
        <vertAlign val="subscript"/>
        <sz val="12"/>
        <rFont val="Calibri"/>
        <family val="2"/>
        <scheme val="minor"/>
      </rPr>
      <t>3 </t>
    </r>
    <r>
      <rPr>
        <sz val="12"/>
        <rFont val="Calibri"/>
        <family val="2"/>
        <scheme val="minor"/>
      </rPr>
      <t> </t>
    </r>
  </si>
  <si>
    <t>297  </t>
  </si>
  <si>
    <t>HFE-569sf2 (HFE-7200)  </t>
  </si>
  <si>
    <r>
      <t>C</t>
    </r>
    <r>
      <rPr>
        <vertAlign val="subscript"/>
        <sz val="12"/>
        <rFont val="Calibri"/>
        <family val="2"/>
        <scheme val="minor"/>
      </rPr>
      <t>4</t>
    </r>
    <r>
      <rPr>
        <sz val="12"/>
        <rFont val="Calibri"/>
        <family val="2"/>
        <scheme val="minor"/>
      </rPr>
      <t>F</t>
    </r>
    <r>
      <rPr>
        <vertAlign val="subscript"/>
        <sz val="12"/>
        <rFont val="Calibri"/>
        <family val="2"/>
        <scheme val="minor"/>
      </rPr>
      <t>9</t>
    </r>
    <r>
      <rPr>
        <sz val="12"/>
        <rFont val="Calibri"/>
        <family val="2"/>
        <scheme val="minor"/>
      </rPr>
      <t>OC</t>
    </r>
    <r>
      <rPr>
        <vertAlign val="subscript"/>
        <sz val="12"/>
        <rFont val="Calibri"/>
        <family val="2"/>
        <scheme val="minor"/>
      </rPr>
      <t>2</t>
    </r>
    <r>
      <rPr>
        <sz val="12"/>
        <rFont val="Calibri"/>
        <family val="2"/>
        <scheme val="minor"/>
      </rPr>
      <t>H</t>
    </r>
    <r>
      <rPr>
        <vertAlign val="subscript"/>
        <sz val="12"/>
        <rFont val="Calibri"/>
        <family val="2"/>
        <scheme val="minor"/>
      </rPr>
      <t>5 </t>
    </r>
    <r>
      <rPr>
        <sz val="12"/>
        <rFont val="Calibri"/>
        <family val="2"/>
        <scheme val="minor"/>
      </rPr>
      <t> </t>
    </r>
  </si>
  <si>
    <t>59  </t>
  </si>
  <si>
    <t>HFE-43-10pccc124 (H-Galden 1040x)  </t>
  </si>
  <si>
    <r>
      <t>CHF</t>
    </r>
    <r>
      <rPr>
        <vertAlign val="subscript"/>
        <sz val="12"/>
        <rFont val="Calibri"/>
        <family val="2"/>
        <scheme val="minor"/>
      </rPr>
      <t>2</t>
    </r>
    <r>
      <rPr>
        <sz val="12"/>
        <rFont val="Calibri"/>
        <family val="2"/>
        <scheme val="minor"/>
      </rPr>
      <t>OCF</t>
    </r>
    <r>
      <rPr>
        <vertAlign val="subscript"/>
        <sz val="12"/>
        <rFont val="Calibri"/>
        <family val="2"/>
        <scheme val="minor"/>
      </rPr>
      <t>2</t>
    </r>
    <r>
      <rPr>
        <sz val="12"/>
        <rFont val="Calibri"/>
        <family val="2"/>
        <scheme val="minor"/>
      </rPr>
      <t>OC</t>
    </r>
    <r>
      <rPr>
        <vertAlign val="subscript"/>
        <sz val="12"/>
        <rFont val="Calibri"/>
        <family val="2"/>
        <scheme val="minor"/>
      </rPr>
      <t>2</t>
    </r>
    <r>
      <rPr>
        <sz val="12"/>
        <rFont val="Calibri"/>
        <family val="2"/>
        <scheme val="minor"/>
      </rPr>
      <t>F</t>
    </r>
    <r>
      <rPr>
        <vertAlign val="subscript"/>
        <sz val="12"/>
        <rFont val="Calibri"/>
        <family val="2"/>
        <scheme val="minor"/>
      </rPr>
      <t>4</t>
    </r>
    <r>
      <rPr>
        <sz val="12"/>
        <rFont val="Calibri"/>
        <family val="2"/>
        <scheme val="minor"/>
      </rPr>
      <t>OCHF</t>
    </r>
    <r>
      <rPr>
        <vertAlign val="subscript"/>
        <sz val="12"/>
        <rFont val="Calibri"/>
        <family val="2"/>
        <scheme val="minor"/>
      </rPr>
      <t>2</t>
    </r>
    <r>
      <rPr>
        <sz val="12"/>
        <rFont val="Calibri"/>
        <family val="2"/>
        <scheme val="minor"/>
      </rPr>
      <t> </t>
    </r>
  </si>
  <si>
    <t>HFE-236ca12 (HG-10)  </t>
  </si>
  <si>
    <r>
      <t>CHF</t>
    </r>
    <r>
      <rPr>
        <vertAlign val="subscript"/>
        <sz val="12"/>
        <rFont val="Calibri"/>
        <family val="2"/>
        <scheme val="minor"/>
      </rPr>
      <t>2</t>
    </r>
    <r>
      <rPr>
        <sz val="12"/>
        <rFont val="Calibri"/>
        <family val="2"/>
        <scheme val="minor"/>
      </rPr>
      <t>OCF</t>
    </r>
    <r>
      <rPr>
        <vertAlign val="subscript"/>
        <sz val="12"/>
        <rFont val="Calibri"/>
        <family val="2"/>
        <scheme val="minor"/>
      </rPr>
      <t>2</t>
    </r>
    <r>
      <rPr>
        <sz val="12"/>
        <rFont val="Calibri"/>
        <family val="2"/>
        <scheme val="minor"/>
      </rPr>
      <t>OCHF</t>
    </r>
    <r>
      <rPr>
        <vertAlign val="subscript"/>
        <sz val="12"/>
        <rFont val="Calibri"/>
        <family val="2"/>
        <scheme val="minor"/>
      </rPr>
      <t>2 </t>
    </r>
    <r>
      <rPr>
        <sz val="12"/>
        <rFont val="Calibri"/>
        <family val="2"/>
        <scheme val="minor"/>
      </rPr>
      <t> </t>
    </r>
  </si>
  <si>
    <t>HFE-338pcc13 (HG-01) </t>
  </si>
  <si>
    <r>
      <t>CHF</t>
    </r>
    <r>
      <rPr>
        <vertAlign val="subscript"/>
        <sz val="12"/>
        <rFont val="Calibri"/>
        <family val="2"/>
        <scheme val="minor"/>
      </rPr>
      <t>2</t>
    </r>
    <r>
      <rPr>
        <sz val="12"/>
        <rFont val="Calibri"/>
        <family val="2"/>
        <scheme val="minor"/>
      </rPr>
      <t>OCF</t>
    </r>
    <r>
      <rPr>
        <vertAlign val="subscript"/>
        <sz val="12"/>
        <rFont val="Calibri"/>
        <family val="2"/>
        <scheme val="minor"/>
      </rPr>
      <t>2</t>
    </r>
    <r>
      <rPr>
        <sz val="12"/>
        <rFont val="Calibri"/>
        <family val="2"/>
        <scheme val="minor"/>
      </rPr>
      <t>CF</t>
    </r>
    <r>
      <rPr>
        <vertAlign val="subscript"/>
        <sz val="12"/>
        <rFont val="Calibri"/>
        <family val="2"/>
        <scheme val="minor"/>
      </rPr>
      <t>2</t>
    </r>
    <r>
      <rPr>
        <sz val="12"/>
        <rFont val="Calibri"/>
        <family val="2"/>
        <scheme val="minor"/>
      </rPr>
      <t>OCHF</t>
    </r>
    <r>
      <rPr>
        <vertAlign val="subscript"/>
        <sz val="12"/>
        <rFont val="Calibri"/>
        <family val="2"/>
        <scheme val="minor"/>
      </rPr>
      <t>2 </t>
    </r>
    <r>
      <rPr>
        <sz val="12"/>
        <rFont val="Calibri"/>
        <family val="2"/>
        <scheme val="minor"/>
      </rPr>
      <t> </t>
    </r>
  </si>
  <si>
    <r>
      <t>(CF</t>
    </r>
    <r>
      <rPr>
        <vertAlign val="subscript"/>
        <sz val="12"/>
        <rFont val="Calibri"/>
        <family val="2"/>
        <scheme val="minor"/>
      </rPr>
      <t>3</t>
    </r>
    <r>
      <rPr>
        <sz val="12"/>
        <rFont val="Calibri"/>
        <family val="2"/>
        <scheme val="minor"/>
      </rPr>
      <t>)</t>
    </r>
    <r>
      <rPr>
        <vertAlign val="subscript"/>
        <sz val="12"/>
        <rFont val="Calibri"/>
        <family val="2"/>
        <scheme val="minor"/>
      </rPr>
      <t>2</t>
    </r>
    <r>
      <rPr>
        <sz val="12"/>
        <rFont val="Calibri"/>
        <family val="2"/>
        <scheme val="minor"/>
      </rPr>
      <t>CFOCH</t>
    </r>
    <r>
      <rPr>
        <vertAlign val="subscript"/>
        <sz val="12"/>
        <rFont val="Calibri"/>
        <family val="2"/>
        <scheme val="minor"/>
      </rPr>
      <t>3 </t>
    </r>
    <r>
      <rPr>
        <sz val="12"/>
        <rFont val="Calibri"/>
        <family val="2"/>
        <scheme val="minor"/>
      </rPr>
      <t> </t>
    </r>
  </si>
  <si>
    <t>343  </t>
  </si>
  <si>
    <r>
      <t>CF</t>
    </r>
    <r>
      <rPr>
        <vertAlign val="subscript"/>
        <sz val="12"/>
        <rFont val="Calibri"/>
        <family val="2"/>
        <scheme val="minor"/>
      </rPr>
      <t>3</t>
    </r>
    <r>
      <rPr>
        <sz val="12"/>
        <rFont val="Calibri"/>
        <family val="2"/>
        <scheme val="minor"/>
      </rPr>
      <t>CF</t>
    </r>
    <r>
      <rPr>
        <vertAlign val="subscript"/>
        <sz val="12"/>
        <rFont val="Calibri"/>
        <family val="2"/>
        <scheme val="minor"/>
      </rPr>
      <t>2</t>
    </r>
    <r>
      <rPr>
        <sz val="12"/>
        <rFont val="Calibri"/>
        <family val="2"/>
        <scheme val="minor"/>
      </rPr>
      <t>CH</t>
    </r>
    <r>
      <rPr>
        <vertAlign val="subscript"/>
        <sz val="12"/>
        <rFont val="Calibri"/>
        <family val="2"/>
        <scheme val="minor"/>
      </rPr>
      <t>2</t>
    </r>
    <r>
      <rPr>
        <sz val="12"/>
        <rFont val="Calibri"/>
        <family val="2"/>
        <scheme val="minor"/>
      </rPr>
      <t>OH  </t>
    </r>
  </si>
  <si>
    <t>42  </t>
  </si>
  <si>
    <r>
      <t>(CF</t>
    </r>
    <r>
      <rPr>
        <vertAlign val="subscript"/>
        <sz val="12"/>
        <rFont val="Calibri"/>
        <family val="2"/>
        <scheme val="minor"/>
      </rPr>
      <t>3</t>
    </r>
    <r>
      <rPr>
        <sz val="12"/>
        <rFont val="Calibri"/>
        <family val="2"/>
        <scheme val="minor"/>
      </rPr>
      <t>)</t>
    </r>
    <r>
      <rPr>
        <vertAlign val="subscript"/>
        <sz val="12"/>
        <rFont val="Calibri"/>
        <family val="2"/>
        <scheme val="minor"/>
      </rPr>
      <t>2</t>
    </r>
    <r>
      <rPr>
        <sz val="12"/>
        <rFont val="Calibri"/>
        <family val="2"/>
        <scheme val="minor"/>
      </rPr>
      <t>CHOH  </t>
    </r>
  </si>
  <si>
    <t>195  </t>
  </si>
  <si>
    <t>HFE-227ea  </t>
  </si>
  <si>
    <r>
      <t>CF</t>
    </r>
    <r>
      <rPr>
        <vertAlign val="subscript"/>
        <sz val="12"/>
        <rFont val="Calibri"/>
        <family val="2"/>
        <scheme val="minor"/>
      </rPr>
      <t>3</t>
    </r>
    <r>
      <rPr>
        <sz val="12"/>
        <rFont val="Calibri"/>
        <family val="2"/>
        <scheme val="minor"/>
      </rPr>
      <t>CHFOCF</t>
    </r>
    <r>
      <rPr>
        <vertAlign val="subscript"/>
        <sz val="12"/>
        <rFont val="Calibri"/>
        <family val="2"/>
        <scheme val="minor"/>
      </rPr>
      <t>3 </t>
    </r>
    <r>
      <rPr>
        <sz val="12"/>
        <rFont val="Calibri"/>
        <family val="2"/>
        <scheme val="minor"/>
      </rPr>
      <t> </t>
    </r>
  </si>
  <si>
    <t>HFE-236ea2  </t>
  </si>
  <si>
    <r>
      <t>CHF</t>
    </r>
    <r>
      <rPr>
        <vertAlign val="subscript"/>
        <sz val="12"/>
        <rFont val="Calibri"/>
        <family val="2"/>
        <scheme val="minor"/>
      </rPr>
      <t>2</t>
    </r>
    <r>
      <rPr>
        <sz val="12"/>
        <rFont val="Calibri"/>
        <family val="2"/>
        <scheme val="minor"/>
      </rPr>
      <t>OCHFCF</t>
    </r>
    <r>
      <rPr>
        <vertAlign val="subscript"/>
        <sz val="12"/>
        <rFont val="Calibri"/>
        <family val="2"/>
        <scheme val="minor"/>
      </rPr>
      <t>3 </t>
    </r>
    <r>
      <rPr>
        <sz val="12"/>
        <rFont val="Calibri"/>
        <family val="2"/>
        <scheme val="minor"/>
      </rPr>
      <t> </t>
    </r>
  </si>
  <si>
    <t>989  </t>
  </si>
  <si>
    <t>HFE-236fa  </t>
  </si>
  <si>
    <r>
      <t>CF</t>
    </r>
    <r>
      <rPr>
        <vertAlign val="subscript"/>
        <sz val="12"/>
        <rFont val="Calibri"/>
        <family val="2"/>
        <scheme val="minor"/>
      </rPr>
      <t>3</t>
    </r>
    <r>
      <rPr>
        <sz val="12"/>
        <rFont val="Calibri"/>
        <family val="2"/>
        <scheme val="minor"/>
      </rPr>
      <t>CH</t>
    </r>
    <r>
      <rPr>
        <vertAlign val="subscript"/>
        <sz val="12"/>
        <rFont val="Calibri"/>
        <family val="2"/>
        <scheme val="minor"/>
      </rPr>
      <t>2</t>
    </r>
    <r>
      <rPr>
        <sz val="12"/>
        <rFont val="Calibri"/>
        <family val="2"/>
        <scheme val="minor"/>
      </rPr>
      <t>OCF</t>
    </r>
    <r>
      <rPr>
        <vertAlign val="subscript"/>
        <sz val="12"/>
        <rFont val="Calibri"/>
        <family val="2"/>
        <scheme val="minor"/>
      </rPr>
      <t>3 </t>
    </r>
    <r>
      <rPr>
        <sz val="12"/>
        <rFont val="Calibri"/>
        <family val="2"/>
        <scheme val="minor"/>
      </rPr>
      <t> </t>
    </r>
  </si>
  <si>
    <t>487  </t>
  </si>
  <si>
    <t>HFE-245fa1  </t>
  </si>
  <si>
    <r>
      <t>CHF</t>
    </r>
    <r>
      <rPr>
        <vertAlign val="subscript"/>
        <sz val="12"/>
        <rFont val="Calibri"/>
        <family val="2"/>
        <scheme val="minor"/>
      </rPr>
      <t>2</t>
    </r>
    <r>
      <rPr>
        <sz val="12"/>
        <rFont val="Calibri"/>
        <family val="2"/>
        <scheme val="minor"/>
      </rPr>
      <t>CH</t>
    </r>
    <r>
      <rPr>
        <vertAlign val="subscript"/>
        <sz val="12"/>
        <rFont val="Calibri"/>
        <family val="2"/>
        <scheme val="minor"/>
      </rPr>
      <t>2</t>
    </r>
    <r>
      <rPr>
        <sz val="12"/>
        <rFont val="Calibri"/>
        <family val="2"/>
        <scheme val="minor"/>
      </rPr>
      <t>OCF</t>
    </r>
    <r>
      <rPr>
        <vertAlign val="subscript"/>
        <sz val="12"/>
        <rFont val="Calibri"/>
        <family val="2"/>
        <scheme val="minor"/>
      </rPr>
      <t>3 </t>
    </r>
    <r>
      <rPr>
        <sz val="12"/>
        <rFont val="Calibri"/>
        <family val="2"/>
        <scheme val="minor"/>
      </rPr>
      <t> </t>
    </r>
  </si>
  <si>
    <t>286  </t>
  </si>
  <si>
    <t>HFE 263fb2  </t>
  </si>
  <si>
    <r>
      <t>CF</t>
    </r>
    <r>
      <rPr>
        <vertAlign val="subscript"/>
        <sz val="12"/>
        <rFont val="Calibri"/>
        <family val="2"/>
        <scheme val="minor"/>
      </rPr>
      <t>3</t>
    </r>
    <r>
      <rPr>
        <sz val="12"/>
        <rFont val="Calibri"/>
        <family val="2"/>
        <scheme val="minor"/>
      </rPr>
      <t>CH</t>
    </r>
    <r>
      <rPr>
        <vertAlign val="subscript"/>
        <sz val="12"/>
        <rFont val="Calibri"/>
        <family val="2"/>
        <scheme val="minor"/>
      </rPr>
      <t>2</t>
    </r>
    <r>
      <rPr>
        <sz val="12"/>
        <rFont val="Calibri"/>
        <family val="2"/>
        <scheme val="minor"/>
      </rPr>
      <t>OCH</t>
    </r>
    <r>
      <rPr>
        <vertAlign val="subscript"/>
        <sz val="12"/>
        <rFont val="Calibri"/>
        <family val="2"/>
        <scheme val="minor"/>
      </rPr>
      <t>3 </t>
    </r>
    <r>
      <rPr>
        <sz val="12"/>
        <rFont val="Calibri"/>
        <family val="2"/>
        <scheme val="minor"/>
      </rPr>
      <t> </t>
    </r>
  </si>
  <si>
    <t>11  </t>
  </si>
  <si>
    <t>HFE-329mcc2  </t>
  </si>
  <si>
    <r>
      <t>CHF</t>
    </r>
    <r>
      <rPr>
        <vertAlign val="subscript"/>
        <sz val="12"/>
        <rFont val="Calibri"/>
        <family val="2"/>
        <scheme val="minor"/>
      </rPr>
      <t>2</t>
    </r>
    <r>
      <rPr>
        <sz val="12"/>
        <rFont val="Calibri"/>
        <family val="2"/>
        <scheme val="minor"/>
      </rPr>
      <t>CF</t>
    </r>
    <r>
      <rPr>
        <vertAlign val="subscript"/>
        <sz val="12"/>
        <rFont val="Calibri"/>
        <family val="2"/>
        <scheme val="minor"/>
      </rPr>
      <t>2</t>
    </r>
    <r>
      <rPr>
        <sz val="12"/>
        <rFont val="Calibri"/>
        <family val="2"/>
        <scheme val="minor"/>
      </rPr>
      <t>OCF</t>
    </r>
    <r>
      <rPr>
        <vertAlign val="subscript"/>
        <sz val="12"/>
        <rFont val="Calibri"/>
        <family val="2"/>
        <scheme val="minor"/>
      </rPr>
      <t>2</t>
    </r>
    <r>
      <rPr>
        <sz val="12"/>
        <rFont val="Calibri"/>
        <family val="2"/>
        <scheme val="minor"/>
      </rPr>
      <t>CF</t>
    </r>
    <r>
      <rPr>
        <vertAlign val="subscript"/>
        <sz val="12"/>
        <rFont val="Calibri"/>
        <family val="2"/>
        <scheme val="minor"/>
      </rPr>
      <t>3 </t>
    </r>
    <r>
      <rPr>
        <sz val="12"/>
        <rFont val="Calibri"/>
        <family val="2"/>
        <scheme val="minor"/>
      </rPr>
      <t> </t>
    </r>
  </si>
  <si>
    <t>919  </t>
  </si>
  <si>
    <t>HFE-338mcf2  </t>
  </si>
  <si>
    <r>
      <t>CF</t>
    </r>
    <r>
      <rPr>
        <vertAlign val="subscript"/>
        <sz val="12"/>
        <rFont val="Calibri"/>
        <family val="2"/>
        <scheme val="minor"/>
      </rPr>
      <t>3</t>
    </r>
    <r>
      <rPr>
        <sz val="12"/>
        <rFont val="Calibri"/>
        <family val="2"/>
        <scheme val="minor"/>
      </rPr>
      <t>CH</t>
    </r>
    <r>
      <rPr>
        <vertAlign val="subscript"/>
        <sz val="12"/>
        <rFont val="Calibri"/>
        <family val="2"/>
        <scheme val="minor"/>
      </rPr>
      <t>2</t>
    </r>
    <r>
      <rPr>
        <sz val="12"/>
        <rFont val="Calibri"/>
        <family val="2"/>
        <scheme val="minor"/>
      </rPr>
      <t>OCF</t>
    </r>
    <r>
      <rPr>
        <vertAlign val="subscript"/>
        <sz val="12"/>
        <rFont val="Calibri"/>
        <family val="2"/>
        <scheme val="minor"/>
      </rPr>
      <t>2</t>
    </r>
    <r>
      <rPr>
        <sz val="12"/>
        <rFont val="Calibri"/>
        <family val="2"/>
        <scheme val="minor"/>
      </rPr>
      <t>CF</t>
    </r>
    <r>
      <rPr>
        <vertAlign val="subscript"/>
        <sz val="12"/>
        <rFont val="Calibri"/>
        <family val="2"/>
        <scheme val="minor"/>
      </rPr>
      <t>3 </t>
    </r>
    <r>
      <rPr>
        <sz val="12"/>
        <rFont val="Calibri"/>
        <family val="2"/>
        <scheme val="minor"/>
      </rPr>
      <t> </t>
    </r>
  </si>
  <si>
    <t>552  </t>
  </si>
  <si>
    <t>HFE-347mcf2  </t>
  </si>
  <si>
    <r>
      <t>CHF</t>
    </r>
    <r>
      <rPr>
        <vertAlign val="subscript"/>
        <sz val="12"/>
        <rFont val="Calibri"/>
        <family val="2"/>
        <scheme val="minor"/>
      </rPr>
      <t>2</t>
    </r>
    <r>
      <rPr>
        <sz val="12"/>
        <rFont val="Calibri"/>
        <family val="2"/>
        <scheme val="minor"/>
      </rPr>
      <t>CH</t>
    </r>
    <r>
      <rPr>
        <vertAlign val="subscript"/>
        <sz val="12"/>
        <rFont val="Calibri"/>
        <family val="2"/>
        <scheme val="minor"/>
      </rPr>
      <t>2</t>
    </r>
    <r>
      <rPr>
        <sz val="12"/>
        <rFont val="Calibri"/>
        <family val="2"/>
        <scheme val="minor"/>
      </rPr>
      <t>OCF</t>
    </r>
    <r>
      <rPr>
        <vertAlign val="subscript"/>
        <sz val="12"/>
        <rFont val="Calibri"/>
        <family val="2"/>
        <scheme val="minor"/>
      </rPr>
      <t>2</t>
    </r>
    <r>
      <rPr>
        <sz val="12"/>
        <rFont val="Calibri"/>
        <family val="2"/>
        <scheme val="minor"/>
      </rPr>
      <t>CF</t>
    </r>
    <r>
      <rPr>
        <vertAlign val="subscript"/>
        <sz val="12"/>
        <rFont val="Calibri"/>
        <family val="2"/>
        <scheme val="minor"/>
      </rPr>
      <t>3 </t>
    </r>
    <r>
      <rPr>
        <sz val="12"/>
        <rFont val="Calibri"/>
        <family val="2"/>
        <scheme val="minor"/>
      </rPr>
      <t> </t>
    </r>
  </si>
  <si>
    <t>374  </t>
  </si>
  <si>
    <t>HFE-356mec3  </t>
  </si>
  <si>
    <r>
      <t>CH</t>
    </r>
    <r>
      <rPr>
        <vertAlign val="subscript"/>
        <sz val="12"/>
        <rFont val="Calibri"/>
        <family val="2"/>
        <scheme val="minor"/>
      </rPr>
      <t>3</t>
    </r>
    <r>
      <rPr>
        <sz val="12"/>
        <rFont val="Calibri"/>
        <family val="2"/>
        <scheme val="minor"/>
      </rPr>
      <t>OCF</t>
    </r>
    <r>
      <rPr>
        <vertAlign val="subscript"/>
        <sz val="12"/>
        <rFont val="Calibri"/>
        <family val="2"/>
        <scheme val="minor"/>
      </rPr>
      <t>2</t>
    </r>
    <r>
      <rPr>
        <sz val="12"/>
        <rFont val="Calibri"/>
        <family val="2"/>
        <scheme val="minor"/>
      </rPr>
      <t>CHFCF</t>
    </r>
    <r>
      <rPr>
        <vertAlign val="subscript"/>
        <sz val="12"/>
        <rFont val="Calibri"/>
        <family val="2"/>
        <scheme val="minor"/>
      </rPr>
      <t>3 </t>
    </r>
    <r>
      <rPr>
        <sz val="12"/>
        <rFont val="Calibri"/>
        <family val="2"/>
        <scheme val="minor"/>
      </rPr>
      <t> </t>
    </r>
  </si>
  <si>
    <t>101  </t>
  </si>
  <si>
    <t>HFE-356pcf2  </t>
  </si>
  <si>
    <r>
      <t>CHF</t>
    </r>
    <r>
      <rPr>
        <vertAlign val="subscript"/>
        <sz val="12"/>
        <rFont val="Calibri"/>
        <family val="2"/>
        <scheme val="minor"/>
      </rPr>
      <t>2</t>
    </r>
    <r>
      <rPr>
        <sz val="12"/>
        <rFont val="Calibri"/>
        <family val="2"/>
        <scheme val="minor"/>
      </rPr>
      <t>CH</t>
    </r>
    <r>
      <rPr>
        <vertAlign val="subscript"/>
        <sz val="12"/>
        <rFont val="Calibri"/>
        <family val="2"/>
        <scheme val="minor"/>
      </rPr>
      <t>2</t>
    </r>
    <r>
      <rPr>
        <sz val="12"/>
        <rFont val="Calibri"/>
        <family val="2"/>
        <scheme val="minor"/>
      </rPr>
      <t>OCF</t>
    </r>
    <r>
      <rPr>
        <vertAlign val="subscript"/>
        <sz val="12"/>
        <rFont val="Calibri"/>
        <family val="2"/>
        <scheme val="minor"/>
      </rPr>
      <t>2</t>
    </r>
    <r>
      <rPr>
        <sz val="12"/>
        <rFont val="Calibri"/>
        <family val="2"/>
        <scheme val="minor"/>
      </rPr>
      <t>CHF</t>
    </r>
    <r>
      <rPr>
        <vertAlign val="subscript"/>
        <sz val="12"/>
        <rFont val="Calibri"/>
        <family val="2"/>
        <scheme val="minor"/>
      </rPr>
      <t>2 </t>
    </r>
    <r>
      <rPr>
        <sz val="12"/>
        <rFont val="Calibri"/>
        <family val="2"/>
        <scheme val="minor"/>
      </rPr>
      <t> </t>
    </r>
  </si>
  <si>
    <t>265  </t>
  </si>
  <si>
    <t>HFE-356pcf3  </t>
  </si>
  <si>
    <r>
      <t>CHF</t>
    </r>
    <r>
      <rPr>
        <vertAlign val="subscript"/>
        <sz val="12"/>
        <rFont val="Calibri"/>
        <family val="2"/>
        <scheme val="minor"/>
      </rPr>
      <t>2</t>
    </r>
    <r>
      <rPr>
        <sz val="12"/>
        <rFont val="Calibri"/>
        <family val="2"/>
        <scheme val="minor"/>
      </rPr>
      <t>OCH</t>
    </r>
    <r>
      <rPr>
        <vertAlign val="subscript"/>
        <sz val="12"/>
        <rFont val="Calibri"/>
        <family val="2"/>
        <scheme val="minor"/>
      </rPr>
      <t>2</t>
    </r>
    <r>
      <rPr>
        <sz val="12"/>
        <rFont val="Calibri"/>
        <family val="2"/>
        <scheme val="minor"/>
      </rPr>
      <t>CF</t>
    </r>
    <r>
      <rPr>
        <vertAlign val="subscript"/>
        <sz val="12"/>
        <rFont val="Calibri"/>
        <family val="2"/>
        <scheme val="minor"/>
      </rPr>
      <t>2</t>
    </r>
    <r>
      <rPr>
        <sz val="12"/>
        <rFont val="Calibri"/>
        <family val="2"/>
        <scheme val="minor"/>
      </rPr>
      <t>CHF</t>
    </r>
    <r>
      <rPr>
        <vertAlign val="subscript"/>
        <sz val="12"/>
        <rFont val="Calibri"/>
        <family val="2"/>
        <scheme val="minor"/>
      </rPr>
      <t>2 </t>
    </r>
    <r>
      <rPr>
        <sz val="12"/>
        <rFont val="Calibri"/>
        <family val="2"/>
        <scheme val="minor"/>
      </rPr>
      <t> </t>
    </r>
  </si>
  <si>
    <t>502  </t>
  </si>
  <si>
    <t>HFE 365mcf3  </t>
  </si>
  <si>
    <r>
      <t>CF</t>
    </r>
    <r>
      <rPr>
        <vertAlign val="subscript"/>
        <sz val="12"/>
        <rFont val="Calibri"/>
        <family val="2"/>
        <scheme val="minor"/>
      </rPr>
      <t>3</t>
    </r>
    <r>
      <rPr>
        <sz val="12"/>
        <rFont val="Calibri"/>
        <family val="2"/>
        <scheme val="minor"/>
      </rPr>
      <t>CF</t>
    </r>
    <r>
      <rPr>
        <vertAlign val="subscript"/>
        <sz val="12"/>
        <rFont val="Calibri"/>
        <family val="2"/>
        <scheme val="minor"/>
      </rPr>
      <t>2</t>
    </r>
    <r>
      <rPr>
        <sz val="12"/>
        <rFont val="Calibri"/>
        <family val="2"/>
        <scheme val="minor"/>
      </rPr>
      <t>CH</t>
    </r>
    <r>
      <rPr>
        <vertAlign val="subscript"/>
        <sz val="12"/>
        <rFont val="Calibri"/>
        <family val="2"/>
        <scheme val="minor"/>
      </rPr>
      <t>2</t>
    </r>
    <r>
      <rPr>
        <sz val="12"/>
        <rFont val="Calibri"/>
        <family val="2"/>
        <scheme val="minor"/>
      </rPr>
      <t>OCH</t>
    </r>
    <r>
      <rPr>
        <vertAlign val="subscript"/>
        <sz val="12"/>
        <rFont val="Calibri"/>
        <family val="2"/>
        <scheme val="minor"/>
      </rPr>
      <t>3 </t>
    </r>
    <r>
      <rPr>
        <sz val="12"/>
        <rFont val="Calibri"/>
        <family val="2"/>
        <scheme val="minor"/>
      </rPr>
      <t> </t>
    </r>
  </si>
  <si>
    <t>HFE-374pc2  </t>
  </si>
  <si>
    <r>
      <t>CHF</t>
    </r>
    <r>
      <rPr>
        <vertAlign val="subscript"/>
        <sz val="12"/>
        <rFont val="Calibri"/>
        <family val="2"/>
        <scheme val="minor"/>
      </rPr>
      <t>2</t>
    </r>
    <r>
      <rPr>
        <sz val="12"/>
        <rFont val="Calibri"/>
        <family val="2"/>
        <scheme val="minor"/>
      </rPr>
      <t>CF</t>
    </r>
    <r>
      <rPr>
        <vertAlign val="subscript"/>
        <sz val="12"/>
        <rFont val="Calibri"/>
        <family val="2"/>
        <scheme val="minor"/>
      </rPr>
      <t>2</t>
    </r>
    <r>
      <rPr>
        <sz val="12"/>
        <rFont val="Calibri"/>
        <family val="2"/>
        <scheme val="minor"/>
      </rPr>
      <t>OCH</t>
    </r>
    <r>
      <rPr>
        <vertAlign val="subscript"/>
        <sz val="12"/>
        <rFont val="Calibri"/>
        <family val="2"/>
        <scheme val="minor"/>
      </rPr>
      <t>2</t>
    </r>
    <r>
      <rPr>
        <sz val="12"/>
        <rFont val="Calibri"/>
        <family val="2"/>
        <scheme val="minor"/>
      </rPr>
      <t>CH</t>
    </r>
    <r>
      <rPr>
        <vertAlign val="subscript"/>
        <sz val="12"/>
        <rFont val="Calibri"/>
        <family val="2"/>
        <scheme val="minor"/>
      </rPr>
      <t>3 </t>
    </r>
    <r>
      <rPr>
        <sz val="12"/>
        <rFont val="Calibri"/>
        <family val="2"/>
        <scheme val="minor"/>
      </rPr>
      <t> </t>
    </r>
  </si>
  <si>
    <t>557  </t>
  </si>
  <si>
    <r>
      <t>- (CF</t>
    </r>
    <r>
      <rPr>
        <vertAlign val="subscript"/>
        <sz val="12"/>
        <rFont val="Calibri"/>
        <family val="2"/>
        <scheme val="minor"/>
      </rPr>
      <t>2</t>
    </r>
    <r>
      <rPr>
        <sz val="12"/>
        <rFont val="Calibri"/>
        <family val="2"/>
        <scheme val="minor"/>
      </rPr>
      <t>)</t>
    </r>
    <r>
      <rPr>
        <vertAlign val="subscript"/>
        <sz val="12"/>
        <rFont val="Calibri"/>
        <family val="2"/>
        <scheme val="minor"/>
      </rPr>
      <t>4</t>
    </r>
    <r>
      <rPr>
        <sz val="12"/>
        <rFont val="Calibri"/>
        <family val="2"/>
        <scheme val="minor"/>
      </rPr>
      <t>CH (OH) -  </t>
    </r>
  </si>
  <si>
    <t>73  </t>
  </si>
  <si>
    <r>
      <t>(CF</t>
    </r>
    <r>
      <rPr>
        <vertAlign val="subscript"/>
        <sz val="12"/>
        <rFont val="Calibri"/>
        <family val="2"/>
        <scheme val="minor"/>
      </rPr>
      <t>3</t>
    </r>
    <r>
      <rPr>
        <sz val="12"/>
        <rFont val="Calibri"/>
        <family val="2"/>
        <scheme val="minor"/>
      </rPr>
      <t>)</t>
    </r>
    <r>
      <rPr>
        <vertAlign val="subscript"/>
        <sz val="12"/>
        <rFont val="Calibri"/>
        <family val="2"/>
        <scheme val="minor"/>
      </rPr>
      <t>2</t>
    </r>
    <r>
      <rPr>
        <sz val="12"/>
        <rFont val="Calibri"/>
        <family val="2"/>
        <scheme val="minor"/>
      </rPr>
      <t>CHOCHF</t>
    </r>
    <r>
      <rPr>
        <vertAlign val="subscript"/>
        <sz val="12"/>
        <rFont val="Calibri"/>
        <family val="2"/>
        <scheme val="minor"/>
      </rPr>
      <t>2 </t>
    </r>
    <r>
      <rPr>
        <sz val="12"/>
        <rFont val="Calibri"/>
        <family val="2"/>
        <scheme val="minor"/>
      </rPr>
      <t> </t>
    </r>
  </si>
  <si>
    <t>380  </t>
  </si>
  <si>
    <r>
      <t>(CF</t>
    </r>
    <r>
      <rPr>
        <vertAlign val="subscript"/>
        <sz val="12"/>
        <rFont val="Calibri"/>
        <family val="2"/>
        <scheme val="minor"/>
      </rPr>
      <t>3</t>
    </r>
    <r>
      <rPr>
        <sz val="12"/>
        <rFont val="Calibri"/>
        <family val="2"/>
        <scheme val="minor"/>
      </rPr>
      <t>)</t>
    </r>
    <r>
      <rPr>
        <vertAlign val="subscript"/>
        <sz val="12"/>
        <rFont val="Calibri"/>
        <family val="2"/>
        <scheme val="minor"/>
      </rPr>
      <t>2</t>
    </r>
    <r>
      <rPr>
        <sz val="12"/>
        <rFont val="Calibri"/>
        <family val="2"/>
        <scheme val="minor"/>
      </rPr>
      <t>CHOCH</t>
    </r>
    <r>
      <rPr>
        <vertAlign val="subscript"/>
        <sz val="12"/>
        <rFont val="Calibri"/>
        <family val="2"/>
        <scheme val="minor"/>
      </rPr>
      <t>3 </t>
    </r>
    <r>
      <rPr>
        <sz val="12"/>
        <rFont val="Calibri"/>
        <family val="2"/>
        <scheme val="minor"/>
      </rPr>
      <t> </t>
    </r>
  </si>
  <si>
    <t>27  </t>
  </si>
  <si>
    <t>Perfluoropoliéteres</t>
  </si>
  <si>
    <t>PFPMIE  </t>
  </si>
  <si>
    <r>
      <t>CF</t>
    </r>
    <r>
      <rPr>
        <vertAlign val="subscript"/>
        <sz val="12"/>
        <rFont val="Calibri"/>
        <family val="2"/>
        <scheme val="minor"/>
      </rPr>
      <t>3</t>
    </r>
    <r>
      <rPr>
        <sz val="12"/>
        <rFont val="Calibri"/>
        <family val="2"/>
        <scheme val="minor"/>
      </rPr>
      <t>OCF(CF</t>
    </r>
    <r>
      <rPr>
        <vertAlign val="subscript"/>
        <sz val="12"/>
        <rFont val="Calibri"/>
        <family val="2"/>
        <scheme val="minor"/>
      </rPr>
      <t>3</t>
    </r>
    <r>
      <rPr>
        <sz val="12"/>
        <rFont val="Calibri"/>
        <family val="2"/>
        <scheme val="minor"/>
      </rPr>
      <t>)CF</t>
    </r>
    <r>
      <rPr>
        <vertAlign val="subscript"/>
        <sz val="12"/>
        <rFont val="Calibri"/>
        <family val="2"/>
        <scheme val="minor"/>
      </rPr>
      <t>2</t>
    </r>
    <r>
      <rPr>
        <sz val="12"/>
        <rFont val="Calibri"/>
        <family val="2"/>
        <scheme val="minor"/>
      </rPr>
      <t>OCF</t>
    </r>
    <r>
      <rPr>
        <vertAlign val="subscript"/>
        <sz val="12"/>
        <rFont val="Calibri"/>
        <family val="2"/>
        <scheme val="minor"/>
      </rPr>
      <t>2</t>
    </r>
    <r>
      <rPr>
        <sz val="12"/>
        <rFont val="Calibri"/>
        <family val="2"/>
        <scheme val="minor"/>
      </rPr>
      <t>OCF</t>
    </r>
    <r>
      <rPr>
        <vertAlign val="subscript"/>
        <sz val="12"/>
        <rFont val="Calibri"/>
        <family val="2"/>
        <scheme val="minor"/>
      </rPr>
      <t>3</t>
    </r>
    <r>
      <rPr>
        <sz val="12"/>
        <rFont val="Calibri"/>
        <family val="2"/>
        <scheme val="minor"/>
      </rPr>
      <t> </t>
    </r>
  </si>
  <si>
    <t>Hidrocarburos y otros compuestos</t>
  </si>
  <si>
    <t>Dimetiléter</t>
  </si>
  <si>
    <r>
      <t>CH</t>
    </r>
    <r>
      <rPr>
        <vertAlign val="subscript"/>
        <sz val="12"/>
        <rFont val="Calibri"/>
        <family val="2"/>
        <scheme val="minor"/>
      </rPr>
      <t>3</t>
    </r>
    <r>
      <rPr>
        <sz val="12"/>
        <rFont val="Calibri"/>
        <family val="2"/>
        <scheme val="minor"/>
      </rPr>
      <t>OCH</t>
    </r>
    <r>
      <rPr>
        <vertAlign val="subscript"/>
        <sz val="12"/>
        <rFont val="Calibri"/>
        <family val="2"/>
        <scheme val="minor"/>
      </rPr>
      <t>3 </t>
    </r>
    <r>
      <rPr>
        <sz val="12"/>
        <rFont val="Calibri"/>
        <family val="2"/>
        <scheme val="minor"/>
      </rPr>
      <t> </t>
    </r>
  </si>
  <si>
    <t>1  </t>
  </si>
  <si>
    <t>Cloroformo</t>
  </si>
  <si>
    <r>
      <t>CHCl</t>
    </r>
    <r>
      <rPr>
        <vertAlign val="subscript"/>
        <sz val="12"/>
        <rFont val="Calibri"/>
        <family val="2"/>
        <scheme val="minor"/>
      </rPr>
      <t>3</t>
    </r>
    <r>
      <rPr>
        <sz val="12"/>
        <rFont val="Calibri"/>
        <family val="2"/>
        <scheme val="minor"/>
      </rPr>
      <t>  </t>
    </r>
  </si>
  <si>
    <t>31  </t>
  </si>
  <si>
    <t>Cloruro de metileno</t>
  </si>
  <si>
    <r>
      <t>CH</t>
    </r>
    <r>
      <rPr>
        <vertAlign val="subscript"/>
        <sz val="12"/>
        <rFont val="Calibri"/>
        <family val="2"/>
        <scheme val="minor"/>
      </rPr>
      <t>2</t>
    </r>
    <r>
      <rPr>
        <sz val="12"/>
        <rFont val="Calibri"/>
        <family val="2"/>
        <scheme val="minor"/>
      </rPr>
      <t>Cl</t>
    </r>
    <r>
      <rPr>
        <vertAlign val="subscript"/>
        <sz val="12"/>
        <rFont val="Calibri"/>
        <family val="2"/>
        <scheme val="minor"/>
      </rPr>
      <t>2</t>
    </r>
    <r>
      <rPr>
        <sz val="12"/>
        <rFont val="Calibri"/>
        <family val="2"/>
        <scheme val="minor"/>
      </rPr>
      <t>  </t>
    </r>
  </si>
  <si>
    <t>Cloruro de metilo</t>
  </si>
  <si>
    <r>
      <t>CH</t>
    </r>
    <r>
      <rPr>
        <vertAlign val="subscript"/>
        <sz val="12"/>
        <rFont val="Calibri"/>
        <family val="2"/>
        <scheme val="minor"/>
      </rPr>
      <t>3</t>
    </r>
    <r>
      <rPr>
        <sz val="12"/>
        <rFont val="Calibri"/>
        <family val="2"/>
        <scheme val="minor"/>
      </rPr>
      <t>Cl  </t>
    </r>
  </si>
  <si>
    <t>13  </t>
  </si>
  <si>
    <t>Dibromometano</t>
  </si>
  <si>
    <r>
      <t>CH</t>
    </r>
    <r>
      <rPr>
        <vertAlign val="subscript"/>
        <sz val="12"/>
        <rFont val="Calibri"/>
        <family val="2"/>
        <scheme val="minor"/>
      </rPr>
      <t>2</t>
    </r>
    <r>
      <rPr>
        <sz val="12"/>
        <rFont val="Calibri"/>
        <family val="2"/>
        <scheme val="minor"/>
      </rPr>
      <t>Br</t>
    </r>
    <r>
      <rPr>
        <vertAlign val="subscript"/>
        <sz val="12"/>
        <rFont val="Calibri"/>
        <family val="2"/>
        <scheme val="minor"/>
      </rPr>
      <t>2 </t>
    </r>
    <r>
      <rPr>
        <sz val="12"/>
        <rFont val="Calibri"/>
        <family val="2"/>
        <scheme val="minor"/>
      </rPr>
      <t> </t>
    </r>
  </si>
  <si>
    <t>Halon-1201  </t>
  </si>
  <si>
    <r>
      <t>CHBrF</t>
    </r>
    <r>
      <rPr>
        <vertAlign val="subscript"/>
        <sz val="12"/>
        <rFont val="Calibri"/>
        <family val="2"/>
        <scheme val="minor"/>
      </rPr>
      <t>2 </t>
    </r>
    <r>
      <rPr>
        <sz val="12"/>
        <rFont val="Calibri"/>
        <family val="2"/>
        <scheme val="minor"/>
      </rPr>
      <t> </t>
    </r>
  </si>
  <si>
    <t>404  </t>
  </si>
  <si>
    <t>Trifluoroiodomethane  </t>
  </si>
  <si>
    <r>
      <t>CF</t>
    </r>
    <r>
      <rPr>
        <vertAlign val="subscript"/>
        <sz val="12"/>
        <rFont val="Calibri"/>
        <family val="2"/>
        <scheme val="minor"/>
      </rPr>
      <t>3</t>
    </r>
    <r>
      <rPr>
        <sz val="12"/>
        <rFont val="Calibri"/>
        <family val="2"/>
        <scheme val="minor"/>
      </rPr>
      <t>I  </t>
    </r>
  </si>
  <si>
    <t xml:space="preserve">Propano R290 </t>
  </si>
  <si>
    <t>C3H8</t>
  </si>
  <si>
    <t xml:space="preserve">Isobutano R600A </t>
  </si>
  <si>
    <t>(CH3)3CH</t>
  </si>
  <si>
    <t xml:space="preserve">Tetrafluoropropeno R1234yf </t>
  </si>
  <si>
    <t>C3H2F4</t>
  </si>
  <si>
    <t xml:space="preserve">Tetrafluoropropileno R1234ze </t>
  </si>
  <si>
    <t>Mezclas-Protocolo de Kyoto</t>
  </si>
  <si>
    <t>R404A</t>
  </si>
  <si>
    <t>HFC-125, HFC-143a y HFC-134a</t>
  </si>
  <si>
    <t>R407A</t>
  </si>
  <si>
    <t>HFC-32, HFC-125 y HFC-134a</t>
  </si>
  <si>
    <t>R407C</t>
  </si>
  <si>
    <t>R32, R125 y R134a</t>
  </si>
  <si>
    <t>R407F</t>
  </si>
  <si>
    <t>R408A</t>
  </si>
  <si>
    <t>R22, R143 y R125</t>
  </si>
  <si>
    <t>R410A</t>
  </si>
  <si>
    <t>R32 y R125</t>
  </si>
  <si>
    <t>R507</t>
  </si>
  <si>
    <t>R143a y  R125</t>
  </si>
  <si>
    <t>R508B</t>
  </si>
  <si>
    <t>HFC23 y FC116</t>
  </si>
  <si>
    <t>Mezclas- Protocolo de Montreal</t>
  </si>
  <si>
    <t>R406A</t>
  </si>
  <si>
    <t>R22, R600a y R-142b</t>
  </si>
  <si>
    <t>R409A</t>
  </si>
  <si>
    <t>HCFC-22, HCFC-142b y HCFC124</t>
  </si>
  <si>
    <t>R502</t>
  </si>
  <si>
    <t>R22 y R115</t>
  </si>
  <si>
    <t>R170</t>
  </si>
  <si>
    <t>Etano</t>
  </si>
  <si>
    <t>R170/Ethane</t>
  </si>
  <si>
    <t>NOTA:</t>
  </si>
  <si>
    <t>El potencial de calentamiento global de los  gases enlistados en el Protocolo de Kyoto están basados en el IPCC Second Assement Report (SAR) para un período de 100 años (porque este es un requisito para realizar el inventario de gases). Para los gases enlistados en el Protocolo de Montreal y los otros gases no enlistados en el Protocolo de Kyoto no es necesario usar los datos del SAR porloque, el GWP de estos gases están basados en reportes más recientes IPCC Fourth Assement Report.</t>
  </si>
  <si>
    <t>1. Sector Energía estacionaria</t>
  </si>
  <si>
    <t>1.1. Sub sector Edificio residenciales</t>
  </si>
  <si>
    <t>Fuente de GEI</t>
  </si>
  <si>
    <t>Claves de notación</t>
  </si>
  <si>
    <t>Información de la actividad</t>
  </si>
  <si>
    <t>Factores de emisión</t>
  </si>
  <si>
    <t>GEI´s( toneladas de CO2 eq)</t>
  </si>
  <si>
    <t>Calidad de la información</t>
  </si>
  <si>
    <t xml:space="preserve">Descripción del método o del uso de las claves de notación </t>
  </si>
  <si>
    <t>Fuente de la información de actividad</t>
  </si>
  <si>
    <t>Explicación de la calidad de la información</t>
  </si>
  <si>
    <t>Alcance</t>
  </si>
  <si>
    <t>Sub categoría</t>
  </si>
  <si>
    <t>Actividad</t>
  </si>
  <si>
    <t>Cantidad</t>
  </si>
  <si>
    <t>Unidades</t>
  </si>
  <si>
    <t>CO2</t>
  </si>
  <si>
    <t>CO2(b)</t>
  </si>
  <si>
    <t>Total ton CO2 eq</t>
  </si>
  <si>
    <t>Emisiones por combustión de combustibles fósiles dentro de los límites de la ciudad</t>
  </si>
  <si>
    <t>Consumo de gas LP en las residencias</t>
  </si>
  <si>
    <t>Consumo de gas LP para uso residencial: cocción de alimentos</t>
  </si>
  <si>
    <t>litros</t>
  </si>
  <si>
    <t>kg de GEI/L de combustible</t>
  </si>
  <si>
    <t>Baja</t>
  </si>
  <si>
    <t>Se consultó de acuerdo a la última encuesta nacional de hogares el porcentaje de hogares que utilizan gas LP para cocinar y de acuerdo al consumo promedio de gas LP para un hogar de 4 personas establecido por la Dirección Sectorial de Energía se calculó el consumo total de litros de gas LP durante el año del reporte</t>
  </si>
  <si>
    <t>INEC
Dirección Sectorial de Energía del MINAE</t>
  </si>
  <si>
    <t>Se considera un baja calidad de la información porque se realizó una estimación del consumo de acuerdo a promedios de consumo nacionales, no propios del cantón</t>
  </si>
  <si>
    <t>Emisiones por uso de combustibles fósiles en hogares de Belén</t>
  </si>
  <si>
    <t>Uso de gasolina en equipos estacionarios dentro del sector residencial</t>
  </si>
  <si>
    <t>Litros</t>
  </si>
  <si>
    <t>Alta</t>
  </si>
  <si>
    <t>Se realizaron encuestas  a una población representativa de hogares en el cantón, los cuales suministraron datos sobre consumo de gasolina para el sector residencial en el año del estudio.</t>
  </si>
  <si>
    <t>Encuestas al sector residencial</t>
  </si>
  <si>
    <t>Se considera alta ya que la información fue suministrada por encuestas aplicadas a una muestra representativa y la información corresponde al año de reporte.</t>
  </si>
  <si>
    <t>Uso de Diésel en equipos estacionarios dentro del sector residencial</t>
  </si>
  <si>
    <t>Se realizaron encuestas  a una población representativa de hogares en el cantón, los cuales suministraron datos sobre consumo de diésel para el sector residencial en el año del estudio.</t>
  </si>
  <si>
    <t>Uso de Gas LP  dentro del sector residencial</t>
  </si>
  <si>
    <t>Se realizaron encuestas  a una población representativa de hogares en el cantón, los cuales suministraron datos sobre consumo de gas LP para el sector residencial en el año del estudio.</t>
  </si>
  <si>
    <t>Uso de Lubricantes como combustible en equipos estacionarios dentro del sector residencial</t>
  </si>
  <si>
    <t>Se realizaron encuestas  a una población representativa de hogares en el cantón, los cuales suministraron datos sobre consumo de Lubricantes como combustible en motores de dos tiempos para el sector residencial en el año del estudio.</t>
  </si>
  <si>
    <t>Uso de biomasa dentro del sector residencial</t>
  </si>
  <si>
    <t>TJ</t>
  </si>
  <si>
    <t>kg de GEI/TJ de combustible</t>
  </si>
  <si>
    <t>Se realizaron encuestas  a una población representativa de hogares en el cantón, los cuales suministraron datos sobre consumo de biomasa para el sector residencial en el año del estudio.</t>
  </si>
  <si>
    <t>Consumo de biogás</t>
  </si>
  <si>
    <t>Quema de biogás por parte de hogares dentro del cantón</t>
  </si>
  <si>
    <t>Se realizaron encuestas  a una población representativa de hogares en el cantón, los cuales suministraron datos sobre generación y quema de biogás para el sector residencial en el año del estudio.</t>
  </si>
  <si>
    <t xml:space="preserve">Total </t>
  </si>
  <si>
    <t>*Agregue las líneas adicionales que necesite</t>
  </si>
  <si>
    <t>Emisiones por el consumo de energía eléctrica mediante la red eléctrica dentro de los límites de la ciudad</t>
  </si>
  <si>
    <t>Consumo de electricidad distribuida, por CNFL</t>
  </si>
  <si>
    <t>Consumo de electricidad, registrado bajo tarífa eléctrica Residencial</t>
  </si>
  <si>
    <t>kWh</t>
  </si>
  <si>
    <t>Se consultaron datos de consumo eléctrico real a CNFL para el sector residencial durante el año 2021</t>
  </si>
  <si>
    <t xml:space="preserve">Se considera que la calidad de la información es alta debido a que los datos utilizados son cuantificaciones reales para el año estudiado. No se requirió de suposiciones </t>
  </si>
  <si>
    <t>Emisiones por las pérdidas en la transmisión y distribución de la energía eléctrica suministrada por red</t>
  </si>
  <si>
    <t>Emisiones por las pérdidas en la transmisión y distribución de la energía eléctrica suministrada por red CNFL</t>
  </si>
  <si>
    <t>Emisiones por las pérdidas en la transmisión y distribución de la energía eléctrica suministrada por red para el sector residencial</t>
  </si>
  <si>
    <t>Se consultaron datos de pérdidas por distribución eléctrica a CNFL  durante el año 2021</t>
  </si>
  <si>
    <t>1.2. Sub sector Edificio e instalaciones comerciales e institucionales</t>
  </si>
  <si>
    <t>Emisiones por uso de combustibles fósiles en comercios e instituciones de Belén</t>
  </si>
  <si>
    <t>Uso de gasolina en equipos estacionarios y móviles dentro del sector comercial</t>
  </si>
  <si>
    <t>Se realizaron encuestas  a una población representativa de comercios e instituciones en el cantón, los cuales suministraron datos sobre consumo de gasolina para el sector comercial en el año del estudio.</t>
  </si>
  <si>
    <t>Encuestas al sector comercial e institucional</t>
  </si>
  <si>
    <t>Uso de diésel en equipos estacionarios y móviles dentro del sector comercial</t>
  </si>
  <si>
    <t>Se realizaron encuestas  a una población representativa de comercios e instituciones en el cantón, los cuales suministraron datos sobre consumo de diésel para el sector comercial en el año del estudio.</t>
  </si>
  <si>
    <t>Uso de Gas LP en equipos estacionarios y móviles dentro del sector comercial</t>
  </si>
  <si>
    <t>Se realizaron encuestas  a una población representativa de comercios e instituciones en el cantón, los cuales suministraron datos sobre consumo de gas LP para el sector comercial en el año del estudio.</t>
  </si>
  <si>
    <t>Uso de Lubricantes como combustible en equipos móviles dentro del sector comercial</t>
  </si>
  <si>
    <t>Se realizaron encuestas  a una población representativa de comercios e instituciones en el cantón, los cuales suministraron datos sobre consumo de lubricante como combustible  para el sector comercial en el año del estudio.</t>
  </si>
  <si>
    <t>Emisiones por uso de combustibles  en comercios e instituciones de Belén</t>
  </si>
  <si>
    <t>Uso de biomasa dentro del sector comercial en hornos, cocinas y claderas</t>
  </si>
  <si>
    <t>Se realizaron encuestas  a una población representativa de comercios e instituciones en el cantón, los cuales suministraron datos sobre consumo de biomasa para el sector comercial en el año del estudio.</t>
  </si>
  <si>
    <t xml:space="preserve">Consumo de electricidad, registrado bajo tarífa eléctrica General </t>
  </si>
  <si>
    <t>Emisiones por las pérdidas en la transmisión y distribución de la energía eléctrica suministrada por red para el sector General</t>
  </si>
  <si>
    <t>1.3. Sub sector Construcción e industrias manufactureras</t>
  </si>
  <si>
    <t>Consumo de bunker dentro del cantón</t>
  </si>
  <si>
    <t>Consumo de búnker en industrias manufactureras en el cantón</t>
  </si>
  <si>
    <t>Se consultó a encargados del departamento de ventas y servicio al cliente de RECOPE, quienes brindaron datos desglosados por cantón sobre consumo de combustible en industrias manufactureras en el cantón.</t>
  </si>
  <si>
    <t>Se considera de calidad Alta ya que los datos fueron reportados por RECOPE según actividad económica.</t>
  </si>
  <si>
    <t>Consumo de búnker en industrias manufactureras en el cantón a través de otros distribuidores</t>
  </si>
  <si>
    <t>Se realizaron encuestas  a una población representativa deindustrias en el cantón, los cuales suministraron datos sobre consumo de gasolina para el sector industrial en el año del estudio.</t>
  </si>
  <si>
    <t>Encuestas al sector indusrtial</t>
  </si>
  <si>
    <t>Consumo de diesel dentro del cantón</t>
  </si>
  <si>
    <t>Consumo de diesel en industrias manufactureras en el cantón</t>
  </si>
  <si>
    <t>Uso de gasolina en equipos estacionarios y móviles dentro del sector industrial</t>
  </si>
  <si>
    <t>Uso de diésel en equipos estacionarios y móviles dentro del sector industrial</t>
  </si>
  <si>
    <t>Se realizaron encuestas  a una población representativa de industrias en el cantón, los cuales suministraron datos sobre consumo de diésel para el sector industrial en el año del estudio.</t>
  </si>
  <si>
    <t>Uso de Gas LP en equipos estacionarios y móviles dentro del sector industrial</t>
  </si>
  <si>
    <t>Se realizaron encuestas  a una población representativa de industrias en el cantón, los cuales suministraron datos sobre consumo de gas LP para el sector industrial en el año del estudio.</t>
  </si>
  <si>
    <t>Uso de Lubricantes como combustible en equipos móviles dentro del sector industrial</t>
  </si>
  <si>
    <t>Se realizaron encuestas  a una población representativa de industrias en el cantón, los cuales suministraron datos sobre consumo de lubricante como combustible  para el sector industrial en el año del estudio.</t>
  </si>
  <si>
    <t>Uso de biomasa dentro del sector industrial en hornos, cocinas y claderas</t>
  </si>
  <si>
    <t>Se realizaron encuestas  a una población representativa de industrias en el cantón, los cuales suministraron datos sobre consumo de biomasa para el sector industrial en el año del estudio.</t>
  </si>
  <si>
    <t>Quema de biogás por parte de industrias dentro del cantón</t>
  </si>
  <si>
    <t>Se realizaron encuestas  a una población representativa de industrias en el cantón, los cuales suministraron datos sobre generación y quema de biogás para el sector industrial en el año del estudio.</t>
  </si>
  <si>
    <t>Consumo de electricidad, registrado bajo tarífa eléctrica Industrial</t>
  </si>
  <si>
    <t>Consumo de electricidad distribuida, por ICE</t>
  </si>
  <si>
    <t>Consumo de electricidad, registrado bajo tarífa eléctrica Preferencial</t>
  </si>
  <si>
    <t>Se realizaron encuestas  a una población representativa de industrias en el cantón, los cuales suministraron datos sobre consumo de energía eléctrica distribuida por el ICE</t>
  </si>
  <si>
    <t>Emisiones por las pérdidas en la transmisión y distribución de la energía eléctrica suministrada por red para el sector Industrial</t>
  </si>
  <si>
    <t>Emisiones por las pérdidas en la transmisión y distribución de la energía eléctrica suministrada por red ICE</t>
  </si>
  <si>
    <t>Se consultaron datos de pérdidas por distribución eléctrica a ICE  durante el año 2021</t>
  </si>
  <si>
    <t>1.4. Sub sector Industrias Energéticas</t>
  </si>
  <si>
    <t>Consumo de combustible en proyectos energéticos</t>
  </si>
  <si>
    <t>Consumo de combustible en equipo menor y mayor</t>
  </si>
  <si>
    <t>NO</t>
  </si>
  <si>
    <t>No se encuentran proyectso Hidroeléctricos o geotérmicos para la generación de energía eléctrica dentro del cantón</t>
  </si>
  <si>
    <t>Lista de proyectos energéticos en el país</t>
  </si>
  <si>
    <t>Consumo de electricidad en proyectos energéticos</t>
  </si>
  <si>
    <t>1.5. Sub sector Actividades agrícolas, de silvicultura y de  pesca</t>
  </si>
  <si>
    <t>Emisiones por uso de combustibles fósiles en fincas de Belén</t>
  </si>
  <si>
    <t>Uso de gasolina en equipos estacionarios dentro del sector agropecuario</t>
  </si>
  <si>
    <t>Se realizaron encuestas  a una población representativa de fincas en el cantón, los cuales suministraron datos sobre consumo de gasolina para el sector agropecuario en el año del estudio.</t>
  </si>
  <si>
    <t>Encuestas al sector agropecurio</t>
  </si>
  <si>
    <t>Uso de Diésel en equipos estacionarios dentro del sector agropecuario</t>
  </si>
  <si>
    <t>Se realizaron encuestas  a una población representativa de fincas en el cantón, los cuales suministraron datos sobre consumo de diésel para el sector agropecuario en el año del estudio.</t>
  </si>
  <si>
    <t>Uso de Lubricantes como combustible en equipos estacionarios dentro del sector agropecuario</t>
  </si>
  <si>
    <t>Se realizaron encuestas  a una población representativa de fincas en el cantón, los cuales suministraron datos sobre consumo de lubricante para el sector agropecuario en el año del estudio.</t>
  </si>
  <si>
    <t>Uso de biomasa dentro del sector agropecuario</t>
  </si>
  <si>
    <t>Se realizaron encuestas  a una población representativa de fincas en el cantón, los cuales suministraron datos sobre consumo de biomasa para el sector agropecuario en el año del estudio.</t>
  </si>
  <si>
    <t>Se realizaron encuestas  a una población representativa de fincas en el cantón, los cuales suministraron datos sobre consumo de biogás para el sector agropecuario en el año del estudio.</t>
  </si>
  <si>
    <t>Consumo de electricidad en el sector agropecuario</t>
  </si>
  <si>
    <t>Se realizaron encuestas  a una población representativa de fincas en el cantón, los cuales suministraron datos sobre consumo de electricidad para el sector agropecuario en el año del estudio.</t>
  </si>
  <si>
    <t>Emisiones por las pérdidas en la transmisión y distribución de la energía eléctrica suministrada por red para el sector agropecuario</t>
  </si>
  <si>
    <t>Leyenda</t>
  </si>
  <si>
    <t>Alcance de reporte obligatorio</t>
  </si>
  <si>
    <t>Alcance de reporte opcional</t>
  </si>
  <si>
    <t>Resumen de emisiones para el sector Energía Estacionaria</t>
  </si>
  <si>
    <t>Gases a reportar</t>
  </si>
  <si>
    <t>Total</t>
  </si>
  <si>
    <t>PCF</t>
  </si>
  <si>
    <t>HFC</t>
  </si>
  <si>
    <t>SF6</t>
  </si>
  <si>
    <t>NF3</t>
  </si>
  <si>
    <t>HCFC</t>
  </si>
  <si>
    <t>CFC</t>
  </si>
  <si>
    <t>Otros gases</t>
  </si>
  <si>
    <t>Alcance 1:</t>
  </si>
  <si>
    <t>Alcance 2:</t>
  </si>
  <si>
    <t>Alcance 3:</t>
  </si>
  <si>
    <t>En casos de otros gases indicar todos los otros gases reportados</t>
  </si>
  <si>
    <t>Emisiones biogénicas (tCO2e)</t>
  </si>
  <si>
    <t>Alcance 1</t>
  </si>
  <si>
    <t>Alcance 3</t>
  </si>
  <si>
    <t xml:space="preserve">Remociones de GEI (tonCO2eq) </t>
  </si>
  <si>
    <t xml:space="preserve">Emisiones netas de GEI (tonCO2eq) </t>
  </si>
  <si>
    <t>2. Sector Transporte</t>
  </si>
  <si>
    <t>2.1. Sub sector Transporte por carretera</t>
  </si>
  <si>
    <t>Emisiones por combustión de combustibles fósiles para transporte por carretera dentro de los límites de la ciudad</t>
  </si>
  <si>
    <t>Consumo de gasolina dentro del cantón</t>
  </si>
  <si>
    <t>Consumo de gasolina por cualquier tipo de vehículo que se transporte dentro de la ciudad</t>
  </si>
  <si>
    <t>Media</t>
  </si>
  <si>
    <t>Se consultó a la Gerencia de Distribución y Ventas de Recope sobre las ventas de combustibles para gasolineras dentro del cantón</t>
  </si>
  <si>
    <t>Se considera un calidad media porque la información fue suministrada por la institución nacional referente en venta de combustible mediante mediciones directas, sin embargo esta metodología puede excluir los consumos de combustibles de quienes se transportan por el cantón pero compran gasolina fuera de él.</t>
  </si>
  <si>
    <t>Se consultó a encargados del departamento de ventas y servicio al cliente de RECOPE, quienes brindaron datos desglosados por cantón sobre consumo de combustible en estaciones de servicio, peddlers y transporte terrestre. Se utiliza el factor de emisión de gasolina con catalizador,dado que la mayor parte de la flotilla vehícular es posterior al año 2000</t>
  </si>
  <si>
    <t>Consumo de diesel por cualquier tipo de vehículo que se transporte dentro de la ciudad</t>
  </si>
  <si>
    <t>Se consultó a encargados del departamento de ventas y servicio al cliente de RECOPE, quienes brindaron datos desglosados por cantón sobre consumo de combustible en estaciones de servicio, peddlers y transporte terrestre.</t>
  </si>
  <si>
    <t>Consumo de diésel fuera de los límites del cantón</t>
  </si>
  <si>
    <t>Consumo de diésel por transporte de residuos especiales fuera de los límites de la ciudad</t>
  </si>
  <si>
    <t>Se consulta con el proveedor del servicio y se confirma que se realizó  un único viaje para el transporte de residuos de tipo electrónico desde Belén y hasta la Uraca en el .</t>
  </si>
  <si>
    <t>Empresa responsable</t>
  </si>
  <si>
    <t>Se considera de calidad Alta ya que los datos fueron reportados por el proveedor del servicio para el año del reporte. Se supone que la porción de viaje dentro de belén corresponde a la porción de combustible en alcance 1.</t>
  </si>
  <si>
    <t>Consumo de diésel por transporte de residuos valorizables fuera de los límites de la ciudad</t>
  </si>
  <si>
    <t>Se consulta con el proveedor del servicio y se confirma el total de combustible consumido para el transporte de residuos de tipo valorizable desde Belén y hasta Alajuela en el 2021 .</t>
  </si>
  <si>
    <t>Se considera de calidad Alta ya que los datos fueron reportados por el proveedor del servicio para el año del reporte. Se supone que la porción de viaje dentro de belén corresponde a la porción de combustible en alcance 1</t>
  </si>
  <si>
    <t>Consumo de diésel por transporte de residuos NO valorizables fuera de los límites de la ciudad</t>
  </si>
  <si>
    <t>Se consulta con el proveedor del servicio y se confirma el total de combustible consumido para el transporte de residuos de tipo valorizable desde Belén hasta Azcarri y la Uruca en el 2021 .</t>
  </si>
  <si>
    <t>Consumo de gasolina por vehículos particulares  dentro del sector residencial en el cantón</t>
  </si>
  <si>
    <t>Se realizaron encuestas  a una población representativa de hogares en el cantón, los cuales suministraron datos sobre consumo de gasolina para el sector transporte en en el año del estudio dentro del sector residencial.  Se utiliza el factor de emisión de gasolina con catalizador,dado que la mayor parte de la flotilla vehícular es posterior al año 2000</t>
  </si>
  <si>
    <t>Consumo de diésel por vehículos particulares dentro del sector residencial en el cantón</t>
  </si>
  <si>
    <t>Se realizaron encuestas  a una población representativa de hogares en el cantón, los cuales suministraron datos sobre consumo de diésel para el sector transporte en en el año del estudio dentro del sector residencial.</t>
  </si>
  <si>
    <t>Consumo de GLP dentro del cantón</t>
  </si>
  <si>
    <t>Consumo de GLP en vehículos dentro del sector residencial en el cantón</t>
  </si>
  <si>
    <t>Se realizaron encuestas  a una población representativa de hogares en el cantón, los cuales suministraron datos sobre consumo de glp para el sector transporte en en el año del estudio dentro del sector residencial.</t>
  </si>
  <si>
    <t>Consumo de gasolina por vehículos de pasajeros dentro del sector comercial en el cantón</t>
  </si>
  <si>
    <t>Se realizaron encuestas  a una población representativa de comercios e instituciones en el cantón, los cuales suministraron datos sobre consumo de gasolina para el sector transporte en en el año del estudio dentro del sector comercial</t>
  </si>
  <si>
    <t>Consumo de diésel por vehículos de pasajeros dentro del sector comercial en el cantón</t>
  </si>
  <si>
    <t>Se realizaron encuestas  a una población representativa de comercios e instituciones en el cantón, los cuales suministraron datos sobre consumo de diésel para el sector transporte en en el año del estudio dentro del sector comercial</t>
  </si>
  <si>
    <t>Consumo de gasolina por vehículos de trabajo dentro del sector comercial en el cantón</t>
  </si>
  <si>
    <t>Consumo de diésel por vehículos de trabajo dentro del sector comercial en el cantón</t>
  </si>
  <si>
    <t>Consumo de gasolina por vehículos de pasajeros dentro del sector industrial en el cantón</t>
  </si>
  <si>
    <t>Se realizaron encuestas  a una población representativa de industrias en el cantón, los cuales suministraron datos sobre consumo de gasolina para el sector transporte en en el año del estudio dentro del sector industrial</t>
  </si>
  <si>
    <t>Encuestas al sector industrial</t>
  </si>
  <si>
    <t>Consumo de diésel por vehículos de pasajeros dentro del sector industrial en el cantón</t>
  </si>
  <si>
    <t>Se realizaron encuestas  a una población representativa de industrias en el cantón, los cuales suministraron datos sobre consumo de diésel para el sector transporte en en el año del estudio dentro del sector industrial</t>
  </si>
  <si>
    <t>Consumo de gasolina por vehículos de trabajo dentro del sector industrial en el cantón</t>
  </si>
  <si>
    <t>Consumo de diésel por vehículos de trabajo dentro del sector industrial en el cantón</t>
  </si>
  <si>
    <t>Consumo de GLP por vehículos de trabajo dentro del sector industrial en el cantón</t>
  </si>
  <si>
    <t>Se realizaron encuestas  a una población representativa de industrias en el cantón, los cuales suministraron datos sobre consumo de GLP para el sector transporte en en el año del estudio dentro del sector industrial</t>
  </si>
  <si>
    <t>Consumo de diésel por vehículos de trabajo dentro del sector agropecuario en el cantón</t>
  </si>
  <si>
    <t>Se realizaron encuestas  a una población representativa de fincas en el cantón, los cuales suministraron datos sobre consumo de diésel para el sector transporte en en el año del estudio dentro del sector agropecuario</t>
  </si>
  <si>
    <t>Encuestas al sector agropecuario</t>
  </si>
  <si>
    <t>Consumo de gasolina por vehículos de pasajeros dentro del sector agropecuario en el cantón</t>
  </si>
  <si>
    <t>Se realizaron encuestas  a una población representativa de fincas en el cantón, los cuales suministraron datos sobre consumo de gasolina para el sector transporte en en el año del estudio dentro del sector agropecuario</t>
  </si>
  <si>
    <t>Consumo de diésel dentro del cantón</t>
  </si>
  <si>
    <t>Consumo de diésel por servicio de autobuses en el cantón dentro del Alcance 1</t>
  </si>
  <si>
    <t>Se realizaron encuestas  a las empresas de servicios de autobuses en el cantón, los cuales suministraron datos sobre consumo de diésel, cantidad de viajes, rutas y distancias recorridas en el año</t>
  </si>
  <si>
    <t>Encuestas al empresas de autobuses</t>
  </si>
  <si>
    <t>Se considera alta ya que la información fue suministrada por encuestas aplicadas a las empresas de autobuses y la información corresponde al año de reporte.</t>
  </si>
  <si>
    <t>Consumo de gasolina por vehículos de colaboradores del sector industrial que se desplazan desde fuera del cantón</t>
  </si>
  <si>
    <t>Consumo de diésel por vehículos de colaboradores del sector industrial que se desplazan desde fuera del cantón</t>
  </si>
  <si>
    <t>Consumo de Gas LP por vehículos de colaboradores del sector industrial que se desplazan desde fuera del cantón</t>
  </si>
  <si>
    <t>Emisiones por el consumo de energía eléctrica mediante la red eléctrica para transporte eléctrico por carretera  dentro de los límites de la ciudad</t>
  </si>
  <si>
    <t>Consumo de electricidad en vehículos eléctricos</t>
  </si>
  <si>
    <t>Consumo de eléctricidad en vehículos eléctricos dentro del sector residencial dentro de los límites del cantón</t>
  </si>
  <si>
    <t>Se realizaron encuestas  a una población representativa de hogares en el cantón, los cuales suministraron datos sobre consumo de electricidad para el sector transporte en en el año del estudio dentro del sector residencial.</t>
  </si>
  <si>
    <t>Se considera alta ya que la información fue suministrada por encuestas aplicadas a una muestra representativa y la información corresponde al año de reporte. El dato de consumo eléctrico en vehículos dentro del cantón se resta del dato de consumo eléctrico residencial reportado por CNFL.</t>
  </si>
  <si>
    <t>Consumo de eléctricidad en vehículos eléctricos dentro del sector residencial fuera de los límites del cantón</t>
  </si>
  <si>
    <t>Se realizaron encuestas  a una población representativa de hogares en el cantón, los cuales suministraron datos sobre consumo de electricidad para el sector transporte en en el año del estudio dentro del sector residencial. El patrón de movimientos transfronterizos y, con esto, el porcentaje de viajes en alcance 1 y 3, se estima con base en información de encuestas a hogares.</t>
  </si>
  <si>
    <t>Emisiones por los viajes transfronterizos que se realizan fuera de los límites de la ciudad.</t>
  </si>
  <si>
    <t>Se consulta con el proveedor del servicio y se confirma que se realizó  un único viaje para el transporte de residuos de tipo electrónico desde Belén y hasta la Uraca en el 2021.</t>
  </si>
  <si>
    <t>Se considera de calidad Alta ya que los datos fueron reportados por el proveedor del servicio para el año del reporte. Se supone que la porción de viaje fuera de belén corresponde a la porción de combustible en alcance 3.</t>
  </si>
  <si>
    <t>Se considera de calidad Alta ya que los datos fueron reportados por el proveedor del servicio para el año del reporte. Se supone que la porción de viaje dentro de belén corresponde a la porción de combustible en alcance 3.</t>
  </si>
  <si>
    <t>Consumo de gasolina fuera de los límites del cantón</t>
  </si>
  <si>
    <t>Consumo de gasolina por vehículos particulares, motocicletas, cuadraciclos y camiones  fuera de los límites de la ciudad</t>
  </si>
  <si>
    <t>Se realizaron encuestas  a una población representativa de hogares en el cantón, los cuales suministraron datos sobre consumo de gasolina para el sector transporte en en el año del estudio dentro del sector residencial. El patrón de movimientos transfronterizos y, con esto, el porcentaje de viajes en alcance 1 y 3, se estima con base en información de encuestas a hogares.</t>
  </si>
  <si>
    <t>Consumo de diésel por vehículos particulares, motocicletas, cuadraciclos y camiones  fuera de los límites de la ciudad</t>
  </si>
  <si>
    <t>Consumo de GLP fuera de los límites del cantón</t>
  </si>
  <si>
    <t>Consumo de GLP por vehículos fuera de los límites de la ciudad</t>
  </si>
  <si>
    <t>Consumo de diésel por servicio de autobuses en el cantón dentro del Alcance 3</t>
  </si>
  <si>
    <t>2.2. Sub sector Transporte Ferroviario</t>
  </si>
  <si>
    <t>Emisiones por combustión de combustibles fósiles para transporte ferroviario dentro de los límites de la ciudad</t>
  </si>
  <si>
    <t>Emisiones por consumo de diésel en transporte ferroviario</t>
  </si>
  <si>
    <t>Emisiones por consumo de diésel en transporte ferroviario tipo DMU dentro de los límites de la ciudad</t>
  </si>
  <si>
    <t>Se consulta con el proveedor del servicio quien brinda datos de consumo total de diesel en transporte ferroviario para el viaje Belen-Curridabat-Pavas (Belen-San Jose).</t>
  </si>
  <si>
    <t>Emisiones por consumo de diésel en transporte ferroviario tipo DMUH dentro de los límites de la ciudad</t>
  </si>
  <si>
    <t>Emisiones por el consumo de energía eléctrica mediante la red eléctrica para transporte eléctrico ferroviario dentro de los límites de la ciudad</t>
  </si>
  <si>
    <t>Consumo de electricidad en transporte ferroviario</t>
  </si>
  <si>
    <t>Consumo de electricidad en transorte ferroviario dentro de los límites de la ciudad</t>
  </si>
  <si>
    <t>La actividad no ocurre dentro del cantón. Datos brindados por INCOFER indican solo el consumo de diésel en tren para ruta Curridabat-Belén</t>
  </si>
  <si>
    <t>Evidencia</t>
  </si>
  <si>
    <t>Emisiones por los viajes transfronterizos que se realizan fuera de los límites de la ciudad. Así como, las pérdidas en la transmisión y distribución de la energía eléctrica suministrada por red</t>
  </si>
  <si>
    <t>Emisiones por consumo de diésel en transporte ferroviario tipo DMU fuera de los límites de la ciudad</t>
  </si>
  <si>
    <t>Emisiones por consumo de diésel en transporte ferroviario tipo DMUH fuera de los límites de la ciudad</t>
  </si>
  <si>
    <t>2.3. Sub sector Navegación marítima, fluvial y lacustre</t>
  </si>
  <si>
    <t>Emisiones por combustión de combustibles fósiles para navegación acuática dentro de los límites de la ciudad</t>
  </si>
  <si>
    <t xml:space="preserve">Consumo de combustible en embarcaciones </t>
  </si>
  <si>
    <t>Consumo de combustible en embarcaciones dentro de los límites de la ciudad</t>
  </si>
  <si>
    <t>La actividad no ocurre dentro del cantón. No se detecta actividaddes de navegación en encuestas realizadas y no se encuentran ríos navegables dentro del cantón según declaratoria de ríos navegables del gobierno de la república.</t>
  </si>
  <si>
    <t>Emisiones por el consumo de energía eléctrica mediante la red eléctrica para navegación acuática  dentro de los límites de la ciudad</t>
  </si>
  <si>
    <t xml:space="preserve">Consumo de electricidad en embarcaciones </t>
  </si>
  <si>
    <t>Consumo de electricidad en embarcaciones dentro de los límites de la ciudad</t>
  </si>
  <si>
    <t>Consumo de combustible en embarcaciones fuera de los límites de la ciudad</t>
  </si>
  <si>
    <t>2.4. Sub sector Aviación</t>
  </si>
  <si>
    <t>Emisiones por combustión de combustibles fósiles para aviación dentro de los límites de la ciudad</t>
  </si>
  <si>
    <t xml:space="preserve">Consumo de combustible en aviación </t>
  </si>
  <si>
    <t>Consumo de combustible en viajes aereos dentro de los límites de la ciudad</t>
  </si>
  <si>
    <t>La actividad no ocurre dentro del cantón. No se detecta actividaddes de aviación en encuestas realizadas y no se encuentran aeropuertos o aeródromos dentro del cantón según la dirección general de aviación civil de Costa Rica.</t>
  </si>
  <si>
    <t>Emisiones por el consumo de energía eléctrica mediante la red eléctrica para aviación dentro de los límites de la ciudad</t>
  </si>
  <si>
    <t>2.5. Sub sector Transporte fuera de carretera</t>
  </si>
  <si>
    <t>Emisiones por combustión de combustibles fósiles para transporte fuera de carretera dentro de los límites de la ciudad</t>
  </si>
  <si>
    <t>Consumo de gasolina fuera de carretera</t>
  </si>
  <si>
    <t>Consumo de gasolina por vehículos de trabajo fuera de carretera dentro del sector comercial</t>
  </si>
  <si>
    <t>Se realizaron encuestas  a una población representativa de comercios e instituciones en el cantón, los cuales suministraron datos sobre consumo de gasolina para vehículos fuera de carretera en comercios</t>
  </si>
  <si>
    <t>Consumo de diesel fuera de carretera</t>
  </si>
  <si>
    <t>Consumo de diesel por vehículos de trabajo fuera de carretera  dentro del sector comercial</t>
  </si>
  <si>
    <t>Se realizaron encuestas  a una población representativa de comercios e instituciones en el cantón, los cuales suministraron datos sobre consumo de diésel para vehículos fuera de carretera en comercios</t>
  </si>
  <si>
    <t>Consumo de gasolina por vehículos de trabajo fuera de carretera dentro del sector industrial</t>
  </si>
  <si>
    <t>Se realizaron encuestas  a una población representativa de industrias en el cantón, los cuales suministraron datos sobre consumo de diésel para vehículos fuera de carretera en industrias</t>
  </si>
  <si>
    <t>Consumo de diesel por vehículos de trabajo fuera de carretera  dentro del sector industrial</t>
  </si>
  <si>
    <t>Consumo de GLP fuera de carretera</t>
  </si>
  <si>
    <t>Consumo de GLP por vehículos de trabajo fuera de carretera  dentro del sector industrial</t>
  </si>
  <si>
    <t>Emisiones por el consumo de energía eléctrica mediante la red eléctrica para transporte fuera de carretera dentro de los límites de la ciudad</t>
  </si>
  <si>
    <t xml:space="preserve">Consumo de electricidad en transporte </t>
  </si>
  <si>
    <t>Consumo de electricidad en transorte fuera de carretera dentro de los límites de la ciudad</t>
  </si>
  <si>
    <t>La actividad No ocurre dnetro del cantón. No se detecta a través de ninguna de las encuestas aplicadas a comercios, instituciones, industrias o fincas agropecuarias, el uso de vehículos fuera de carretera de tipo eléctrico. Cabe mencionar que sí se pregunta en las encuestas por este tipo de vehículos, por lo que SÍ se encuentran contemplados en el sondeo, sin embargo en toda la muestra analizada no se encuentra evidencia de su uso en el cantón.</t>
  </si>
  <si>
    <t xml:space="preserve">La actividad No ocurre. Al ser vehículos fuera de carretera y por lo tanto sin marchamo, estos se mantienen dentro de las organizaciones o fincas, por lo que no cruzan los límites de la ciudad. La lista de vehículos fuera de carretera puede encontrarse en las documentos de sistematización de datos de encuesta agrícola, comercial e industrial. </t>
  </si>
  <si>
    <t>Resumen de emisiones para el sector Transporte</t>
  </si>
  <si>
    <t>3. Sector Residuos</t>
  </si>
  <si>
    <t>3.1. Sub sector Disposición de residuos sólidos generados en la ciudad</t>
  </si>
  <si>
    <t>Emisiones por los residuos sólidos generados en la ciudad y dispuestos en los rellenos sanitarios y vertederos dentro de la ciudad</t>
  </si>
  <si>
    <t>Generación de residuos sólidos ordinarios en la ciudad y dispuestos en un relleno sanitario</t>
  </si>
  <si>
    <t>Cantidad de residuos sólidos ordinarios que se generan en la ciudad anualmente y se disponen en un relleno sanitario localizado  dentro de la ciudad</t>
  </si>
  <si>
    <t xml:space="preserve">kg de GEI/kg de residuos </t>
  </si>
  <si>
    <t>Se consultó los registros municipales sobre la disposición de los residuos sólidos, así como las facturas pagadas por el servicio de disposición en el relleno sanitario</t>
  </si>
  <si>
    <t>Municipalidad</t>
  </si>
  <si>
    <t>Se considera alta calidad de la información porque la información de actividad proviene de facturas y registros municipales, tomados a partir de mediciones directas en el relleno sanitario.</t>
  </si>
  <si>
    <t>Generación de residuos sólidos ordinarios en la ciudad y dispuestos por medio de relleno sanitario</t>
  </si>
  <si>
    <t>Cantidad de residuos sólidos ordinarios que se generan en el cantón y  se disponen en rellenos dentro de la ciudad</t>
  </si>
  <si>
    <t>No existe disposición de residuos ordinarios en rellenos sanitarios dentro del cantón</t>
  </si>
  <si>
    <t>Evidencia: Cuadro 5, pág 18, Cuadro 6, pág 19 y Cuadro 7, pág 20 de la investigación base del Informe del Estado de la Nación, "Gestión de los residuos sólidos en Costa Rica", 2019. En el cuadro 6 se muestra los rellenos autorizados y su ubicación. Se hace notar que no se encuentra registrado un relleno en Belén de Heredia</t>
  </si>
  <si>
    <t>Emisiones por los residuos sólidos generados en la ciudad y dispuestos en los rellenos sanitarios y vertederos fuera de los límites de la ciudad</t>
  </si>
  <si>
    <t>Cantidad de residuos sólidos ordinarios que se generan en el cantón y  se disponen en rellenos fuera de la ciudad</t>
  </si>
  <si>
    <t>kg de residuos</t>
  </si>
  <si>
    <t>El dato de residuos ordinarios enviados a relleno sanitario se consultó de forma directa a la municipalidad del cantón para el año de reporte. El dato de residuos manejados se brinda junto a evidencias de facturas con el proveedor de servicio de recolección.</t>
  </si>
  <si>
    <t>Se considera calidad alta ya que la información fue brindada por el encargado municipal para el año del reporte y se verifica contra facturas emitidas por el proveedor del servicio</t>
  </si>
  <si>
    <t>3.2. Sub sector Tratamiento biológico de residuos</t>
  </si>
  <si>
    <t>Emisiones por los residuos sólidos tratados biológicamente dentro de la ciudad</t>
  </si>
  <si>
    <t>Generación de residuos sólidos orgánicos en la ciudad y tratados por compostaje</t>
  </si>
  <si>
    <t>Cantidad de residuos sólidos orgánicos que se generan en la ciudad anualmente y se tratan por compostaje en el sector viviendas</t>
  </si>
  <si>
    <t>kg</t>
  </si>
  <si>
    <t>Se realizaron encuestas  a una población representativa de hogares en el cantón, los cuales suministraron datos sobre tratamiento de residuos por compost en el año del estudio.</t>
  </si>
  <si>
    <t>Generación de residuos sólidos orgánicos en la ciudad y tratados por Lombricompostaje</t>
  </si>
  <si>
    <t>Cantidad de residuos sólidos orgánicos que se generan en la ciudad anualmente y se tratan por lombricompostaje en el sector viviendas</t>
  </si>
  <si>
    <t>Generación de residuos sólidos  tratados por entierro</t>
  </si>
  <si>
    <t>Cantidad de residuos sólidos que se generan en el sector vivienda y agropecuario  y se disponen a través de entierro de residuos dentro de la ciudad</t>
  </si>
  <si>
    <t>Gg</t>
  </si>
  <si>
    <t>Se realizaron encuestas  a una población representativa de hogares y fincas en el cantón, los cuales suministraron datos sobre tratamiento de residuos por entierro en el año del estudio.</t>
  </si>
  <si>
    <t>Encuestas al sector residencial y agropecuario</t>
  </si>
  <si>
    <t>Cantidad de residuos sólidos orgánicos que se generan en la ciudad anualmente y se tratan por compostaje en el sector comercial</t>
  </si>
  <si>
    <t>Se realizaron encuestas  a una población representativa de comercios en el cantón, los cuales suministraron datos sobre tratamiento de residuos por compost en el año del estudio.</t>
  </si>
  <si>
    <t>Cantidad de residuos sólidos orgánicos que se generan en la ciudad anualmente y se tratan por compostaje en el sector industrial</t>
  </si>
  <si>
    <t>Se realizaron encuestas  a una población representativa de industrias en el cantón, los cuales suministraron datos sobre tratamiento de residuos por compost en el año del estudio.</t>
  </si>
  <si>
    <t>Cantidad de residuos sólidos orgánicos que se generan en la ciudad anualmente y se tratan por compostaje en el sector agropecuario</t>
  </si>
  <si>
    <t>Se realizaron encuestas  a una población representativa de fincas en el cantón, los cuales suministraron datos sobre tratamiento de residuos por compost en el año del estudio.</t>
  </si>
  <si>
    <t>Emisiones por los residuos sólidos tratados biológicamente fuera de la ciudad</t>
  </si>
  <si>
    <t>La actividad No ocurre dentro del cantón. No se detecta a través de ninguna de las encuestas aplicadas a comercios, instituciones, industrias o fincas agropecuarias, el envío de residuos orgánicos fuera del cantón para ser tratados biológicamente. Los encuestados que reportan este tipo de actividades mencionan tener composteras o biodigestores en sus casas, negocios o fincas, por lo que el tratamiento se da dentro de los límites de la ciudad.</t>
  </si>
  <si>
    <t>3.3. Sub sector Incineración y quema a cielo abierto de residuos</t>
  </si>
  <si>
    <t>Emisiones por los residuos sólidos incinerados o quemados a cielo abierto dentro de la ciudad</t>
  </si>
  <si>
    <t>Generación de residuos sólidos ordinarios tratados por incineración a cielo abierto</t>
  </si>
  <si>
    <t>Cantidad de residuos sólidos ordinarios tratados por incineración a cielo abierto según reportes de bomberos, datos de encuesta a hogares y datos de encuestas a comercios</t>
  </si>
  <si>
    <t>kg GEI/Gg residuo</t>
  </si>
  <si>
    <r>
      <t>Estación de bomberos brinda un reporte sobre incidentes de quema de residuos en contenedor o espacio abierto en el cantón para el año 2021. Al necesitar la metodología de un aproximado de masa para el cálculo, se multiplica el dato de área por la densidad de residuos (kg/m3) y depués por un aproximado de altura. La densidad se obtiene del estudio "</t>
    </r>
    <r>
      <rPr>
        <sz val="9"/>
        <color rgb="FF000000"/>
        <rFont val="Calibri"/>
        <family val="2"/>
      </rPr>
      <t>TASAS DE GENERACIÓN Y CARACTERIZACIÓN
DE RESIDUOS SÓLIDOS ORDINARIOS EN CUATRO
MUNICIPIOS DEL ÁREA METROPOLITANA
COSTA RICA</t>
    </r>
    <r>
      <rPr>
        <sz val="12"/>
        <color rgb="FF000000"/>
        <rFont val="Calibri"/>
        <family val="2"/>
      </rPr>
      <t>"  y la composición de estudios municipales de residuos.</t>
    </r>
  </si>
  <si>
    <t>Bomberos de belén</t>
  </si>
  <si>
    <t xml:space="preserve">Se considera media ya que, si bien los datos de área son dados por el ente encargado y el dato de densidad viene de un artículo cienífico publicado (al igual que los datos de composición de basura), el estimado de alturas se realiza bajo supuestos de diferentes alturas de basureros y  contenedores disponibles en CR y no existe forma de verificar el dato real. Además, se asume que toda el área reportada contenía residuos, cuando en realidad el fuego pudo consumir área cercana a raíz de la quema de un volumen mucho más pequeño de residuos. </t>
  </si>
  <si>
    <t>Generación de residuos sólidos ordinarios tratados por incineración en hornos cementeros</t>
  </si>
  <si>
    <t>Cantidad de residuos sólidos ordinarios tratados por incineración en hornos cementeros (coprocesamiento) fuera de los límites de la ciudad</t>
  </si>
  <si>
    <t>Se realizaron encuestas  a una población representativa de industrias en el cantón, los cuales suministraron datos sobre tratamiento de residuos por coprocesamiento en el año de estudio</t>
  </si>
  <si>
    <t>3.4. Sub sector Tratamiento de aguas residuales</t>
  </si>
  <si>
    <t>Emisiones por la generación y el tratamiento de las aguas residuales dentro de los límites de la ciudad</t>
  </si>
  <si>
    <t>Generación de aguas residuales ordinarias tratadas en tanque séptico</t>
  </si>
  <si>
    <t>Cantidad de hogares y personas que generan aguas residuales ordinarias, con tratamiento por tanque séptico</t>
  </si>
  <si>
    <t>personas</t>
  </si>
  <si>
    <t>Se solicita información sobre tratamiento de aguas residuales ordinarias e industriales en plantas dentro del cantón para el año de estudio</t>
  </si>
  <si>
    <t>Se considera alta ya que la información es suministrada directamente por el ente encargado en el cantón</t>
  </si>
  <si>
    <t>Generación de aguas residuales tratadas en reactor anaeróbico</t>
  </si>
  <si>
    <t xml:space="preserve"> Aguas residuales ordinarias e industriales tratadas en reactor anaeróbico</t>
  </si>
  <si>
    <t>kg DQO</t>
  </si>
  <si>
    <t>Vertido de aguas residuales tratadas en reactor anaeróbico</t>
  </si>
  <si>
    <t>Generación de aguas residuales tratadas en sistema aeróbico</t>
  </si>
  <si>
    <t xml:space="preserve"> Aguas residuales  industriales tratadas en en sistema aeróbico</t>
  </si>
  <si>
    <t>Vertido de aguas residuales tratadas en reactor aeróbico</t>
  </si>
  <si>
    <t xml:space="preserve"> Aguas residuales  domésticas tratadas en en sistema aeróbico</t>
  </si>
  <si>
    <t>Generación de aguas residuales ordinarias vertidas directamente en cuerpo receptor</t>
  </si>
  <si>
    <t>Cantidad de hogares y personas que generan aguas residuales ordinarias vertidas directamente a cuerpo receptor</t>
  </si>
  <si>
    <t>Se realizaron encuestas  a una población representativa de hogares en el cantón, los cuales suministraron datos sobre tratamiento de aguas residuales en el año de estudio</t>
  </si>
  <si>
    <t>Emisiones por la generación y el tratamiento de las aguas residuales fuera de los límites de la ciudad</t>
  </si>
  <si>
    <t>La actividad No ocurre dentro del cantón. No se detecta a través de ninguna de las encuestas aplicadas a comercios, instituciones, industrias o fincas agropecuarias, el envío de aguas residuales fuera del cantón para ser tratadas. Las aguas van a alcantarillados, sistemas municipales, plantas residenciales o industriales o tanques sépticos dentro del cantón.</t>
  </si>
  <si>
    <t>Resumen de emisiones para el sector Residuos</t>
  </si>
  <si>
    <t>4. Sector Procesos Industriales y Uso de Productos</t>
  </si>
  <si>
    <t>4.1. Sub sector Procesos industriales</t>
  </si>
  <si>
    <t>HCFC-123/R123</t>
  </si>
  <si>
    <t>HCFC-22/R22</t>
  </si>
  <si>
    <t>R407c</t>
  </si>
  <si>
    <t>HFC-404a/R404a</t>
  </si>
  <si>
    <t>HFC-134a/R134a</t>
  </si>
  <si>
    <t>HFC-410a/R410a</t>
  </si>
  <si>
    <t>R600a</t>
  </si>
  <si>
    <t>R290</t>
  </si>
  <si>
    <t>R12</t>
  </si>
  <si>
    <t>R51a</t>
  </si>
  <si>
    <t>R514</t>
  </si>
  <si>
    <t>R141b</t>
  </si>
  <si>
    <t>HFC-23/R23</t>
  </si>
  <si>
    <t>Otro</t>
  </si>
  <si>
    <t>Emisiones de procesos industriales que ocurren dentro de los límites de la ciudad</t>
  </si>
  <si>
    <t>Emisiones asociadas al proceso de elaboración de cemento en una empresa de la ciudad</t>
  </si>
  <si>
    <t>tonelada de Clinker</t>
  </si>
  <si>
    <t>kg de CO2/kg de Clinker</t>
  </si>
  <si>
    <t>Se consultó a la empresa fabricante del cemento la producción de Clinker durante el año del reporte</t>
  </si>
  <si>
    <t>Empresa cementera</t>
  </si>
  <si>
    <t>Se considera un alta calidad por los datos de actividad provienen de mediciones directas de la producción de la empresa de cemento</t>
  </si>
  <si>
    <t>Generación de bebidas</t>
  </si>
  <si>
    <t>Emisiones por fermentación</t>
  </si>
  <si>
    <t>tCO2e</t>
  </si>
  <si>
    <t>Emisiones generadas como subproducto de la fermentación para producción de alimentos. Estas emisiones se consideran biogénicas según indicación de los encargados industriales, al ser producto de la fermentación de materia prima de origen biomásico, motivo por el cual se reportan en este inventario como emisiones por proceso industrial, pero no se suman al total del inventario al ser emisiones que entran dentro del ciclo del carbono.</t>
  </si>
  <si>
    <t>Empresa encargada</t>
  </si>
  <si>
    <t>Se considera calidad alta ya que la información viene directamente de la empresa encargada de producción en el cantón. No se coloca el enlace a la fuente de información ya que los datos brindados son confidenciales</t>
  </si>
  <si>
    <t>4.2. Sub sector Uso de Productos</t>
  </si>
  <si>
    <t>Emisiones por el uso de productos que ocurre dentro de los límites de la ciudad</t>
  </si>
  <si>
    <t>Uso de lubricantes en equipos</t>
  </si>
  <si>
    <t>Cantidad de lubricantes consumidos en equipos, no por combustión en el sector residencial</t>
  </si>
  <si>
    <t>Se realizaron encuestas  a una población representativa de hogares en el cantón, los cuales suministraron datos sobre consumo de lubricantes para mantenimiento en el sector residencial</t>
  </si>
  <si>
    <t xml:space="preserve">Se considera alta ya que la información fue suministrada por encuestas aplicadas a una muestra representativa y la información corresponde al año de reporte. </t>
  </si>
  <si>
    <t>Uso de gases refrigerantes en equipos</t>
  </si>
  <si>
    <t>Cantidad de gas R22 utilizado en aires acondicionados en el sector doméstico</t>
  </si>
  <si>
    <t>% por emisiones durante servicio</t>
  </si>
  <si>
    <t>Se realizaron encuestas  a una población representativa de hogares en el cantón, los cuales suministraron datos sobre el uso de AC en el sector residencial. Se utilizan suposiciones y datos basados en el  inventario de GEI de Refrigeración y AC para CR (2012-2016)</t>
  </si>
  <si>
    <t>Se considera media ya que aqunue la información fue suministrada por encuestas aplicadas a una muestra representativa y la información corresponde al año de reporte, se necesita de suposiciones y datos no específicos para el área de estudio, de fuentes confiables.</t>
  </si>
  <si>
    <t>Cantidad de gas R410a utilizado en aires acondicionados en el sector doméstico</t>
  </si>
  <si>
    <t>Cantidad de gas R134a utilizado en refrigeradores domésticos</t>
  </si>
  <si>
    <t>Cálculos se basan en resultados publicados en el  inventario de GEI de Refrigeración y AC para CR (2012-2016) para refrigeraciòn doméstica, Tabla 5 y 22. Se asume que TODOS los hogares tienen al menos 1 refrigerador. Se considera únicamente el FE por emisiones durante el uso del equipo, ya que no se poseen datos sobre el monatje o antiguedad del equipo</t>
  </si>
  <si>
    <t xml:space="preserve"> Inventario de GEI de Refrigeración y AC para CR (2012-2016)</t>
  </si>
  <si>
    <t>Se considera media ya que cálculos se basan en datos municipales sobre cantidad de hogares y datos confiables en estudios de refrigerantes, sin embargo, no se poseen datos directos sobre refrigeración doméstica en el cantón</t>
  </si>
  <si>
    <t>Cantidad de gas R600a utilizado en refrigeradores domésticos</t>
  </si>
  <si>
    <t>Uso de extintores</t>
  </si>
  <si>
    <t>Cantidad de gases liberados debido a la recarga de extintores de CO2 en el sector comercial e institucional</t>
  </si>
  <si>
    <t>ton CO2eq</t>
  </si>
  <si>
    <t>Se realizaron encuestas  a una población representativa de comercios e instituciones en el cantón, los cuales suministraron datos sobre recarga de extintores CO2 en el sector comercial</t>
  </si>
  <si>
    <t>Cantidad de lubricantes consumidos en equipos, no por combustión en el sector comercial e institucional</t>
  </si>
  <si>
    <t>Se realizaron encuestas  a una población representativa de comercios e instituciones en el cantón, los cuales suministraron datos sobre consumo de lubricantes para mantenimiento en el sector comercial</t>
  </si>
  <si>
    <t>Cantidad de gas R134a fugitivo por uso en aires acondicionados en el sector comercial</t>
  </si>
  <si>
    <t>Se realizaron encuestas  a una población representativa de comercios en el cantón, los cuales suministraron datos sobre el uso de AC en el sector comercial. Se utilizan suposiciones y datos basados en el  inventario de GEI de Refrigeración y AC para CR (2012-2016)</t>
  </si>
  <si>
    <t>Cantidad de gas R51 fugitivo por uso en aires acondicionados en el sector comercial</t>
  </si>
  <si>
    <t>Cantidad de gas R410a fugitivo por uso en aires acondicionados en el sector comercial</t>
  </si>
  <si>
    <t>Cantidad de gas R22 fugitivo por uso en aires acondicionados en el sector comercial</t>
  </si>
  <si>
    <t>Cantidad de gas (freón) R12 fugitivo por uso en aires acondicionados en el sector comercial</t>
  </si>
  <si>
    <t>Cantidad de gas R134a recargado en aires acondicionados en el sector comercial</t>
  </si>
  <si>
    <t>Se realizaron encuestas  a una población representativa de comercios e instituciones en el cantón, los cuales suministraron datos sobre recarga de refrigerantes en el sector comercial</t>
  </si>
  <si>
    <t>Cantidad de gas R51 recargado en aires acondicionados en el sector comercial</t>
  </si>
  <si>
    <t>Cantidad de gas R410a recargado en aires acondicionados en el sector comercial</t>
  </si>
  <si>
    <t>Cantidad de gas R22 recargado en aires acondicionados en el sector comercial</t>
  </si>
  <si>
    <t>Cantidad de gas Freón (R12) recargado en aires acondicionados en el sector comercial</t>
  </si>
  <si>
    <t>Cantidad de gas R134 fugitivo por uso en camiones refrigerados en el sector comercial</t>
  </si>
  <si>
    <t>Se realizaron encuestas  a una población representativa de comercios e instituciones, los cuales suministraron datos sobre el uso de AC en el sector. Se utilizan suposiciones y datos basados en el  inventario de GEI de Refrigeración y AC para CR (2012-2016)</t>
  </si>
  <si>
    <t>Cantidad de gas R404a fugitivo por uso en camiones refrigerados en el sector comercial</t>
  </si>
  <si>
    <t>Cantidad de gas R407c fugitivo por uso en camiones refrigerados en el sector comercial</t>
  </si>
  <si>
    <t>Cantidad de gas R410a fugitivo por uso en camiones refrigerados en el sector comercial</t>
  </si>
  <si>
    <t>Cantidad de gas R134a utilizado en equipos refrigerados en el sector comercial</t>
  </si>
  <si>
    <t>Cantidad de gas R12 (freón) utilizado en equipos refrigerados en el sector comercial</t>
  </si>
  <si>
    <t>Cantidad de gases liberados debido a la recarga de extintores de CO2 en el sectorindustrial</t>
  </si>
  <si>
    <t>Se realizaron encuestas  a una población representativa de industrias en el cantón, los cuales suministraron datos sobre recarga de extintores CO2 en el sector industrial</t>
  </si>
  <si>
    <t>Cantidad de lubricantes consumidos en equipos, no por combustión, en el sector industrial</t>
  </si>
  <si>
    <t>Se realizaron encuestas  a una población representativa de industrias en el cantón, los cuales suministraron datos sobre consumo de lubricantes para mantenimiento en el sector industrial</t>
  </si>
  <si>
    <t>Uso de cilindros de CO2 en aplicaciones industriales</t>
  </si>
  <si>
    <t>Cantidad de gases liberados debido al uso de cilindros de CO2 en aplicaciones industriales</t>
  </si>
  <si>
    <t>Se realizaron encuestas  a una población representativa de industrias en el cantón, los cuales suministraron datos sobre uso de CO2 en el sector industrial</t>
  </si>
  <si>
    <t>Uso de gas SF6 en aplicaciones industriales</t>
  </si>
  <si>
    <t>Cantidad de gases liberados debido al uso de gas SF6 en aplicaciones industriales</t>
  </si>
  <si>
    <t>Se realizaron encuestas  a una población representativa de industrias en el cantón, los cuales suministraron datos sobre uso de SF6 en el sector industrial</t>
  </si>
  <si>
    <t>Cantidad de gas R123 fugitivo por uso en aires acondicionados en el sector industrial</t>
  </si>
  <si>
    <t>Se realizaron encuestas  a una población representativa de industrias, los cuales suministraron datos sobre el uso de AC en el sector. Se utilizan suposiciones y datos basados en el  inventario de GEI de Refrigeración y AC para CR (2012-2016)</t>
  </si>
  <si>
    <t>Cantidad de gas R134a fugitivo por uso en aires acondicionados en el sector industrial</t>
  </si>
  <si>
    <t>Cantidad de gas R22 fugitivo por uso en aires acondicionados en el sector industrial</t>
  </si>
  <si>
    <t>Cantidad de gas R404a fugitivo por uso en aires acondicionados en el sector industrial</t>
  </si>
  <si>
    <t>Cantidad de gas R407 fugitivo por uso en aires acondicionados en el sector industrial</t>
  </si>
  <si>
    <t>Cantidad de gas R410a fugitivo por uso en aires acondicionados en el sector industrial</t>
  </si>
  <si>
    <t>Cantidad de gas R502 fugitivo por uso en aires acondicionados en el sector industrial</t>
  </si>
  <si>
    <t>Cantidad de gas R507 fugitivo por uso en aires acondicionados en el sector industrial</t>
  </si>
  <si>
    <t>Cantidad de gas R514 fugitivo por uso en aires acondicionados en el sector industrial</t>
  </si>
  <si>
    <t>Cantidad de gas R123 fugitivo por eliminación de aires acondicionados en el sector industrial</t>
  </si>
  <si>
    <t>% por emisiones por eliminación</t>
  </si>
  <si>
    <t>Cantidad de gas R134a fugitivo por eliminación de aires acondicionados en el sector industrial</t>
  </si>
  <si>
    <t>Cantidad de gas R22 fugitivo por eliminación en aires acondicionados en el sector industrial</t>
  </si>
  <si>
    <t>Cantidad de gas R404a fugitivo por eliminación en aires acondicionados en el sector industrial</t>
  </si>
  <si>
    <t>Cantidad de gas R407 fugitivo por eliminación de aires acondicionados en el sector industrial</t>
  </si>
  <si>
    <t>Cantidad de gas R410a fugitivo por eliminación de aires acondicionados en el sector industrial</t>
  </si>
  <si>
    <t>Cantidad de gas R502 fugitivo por eliminación de aires acondicionados en el sector industrial</t>
  </si>
  <si>
    <t>Cantidad de gas R507 fugitivo por eliminación de aires acondicionados en el sector industrial</t>
  </si>
  <si>
    <t>Cantidad de gas R514 fugitivo por eliminación de aires acondicionados en el sector industrial</t>
  </si>
  <si>
    <t>Cantidad de gas R123 recargado en aires acondicionados en el sector industrial</t>
  </si>
  <si>
    <t>Se realizaron encuestas  a una población representativa de industrias en el cantón, los cuales suministraron datos sobre recarga de refrigerantes en el sector industrial</t>
  </si>
  <si>
    <t>Cantidad de gas R134a recargado en aires acondicionados en el sector industrial</t>
  </si>
  <si>
    <t>Cantidad de gas R22 recargado en aires acondicionados en el sector industrial</t>
  </si>
  <si>
    <t>Cantidad de gas R404a recargado en aires acondicionados en el sector industrial</t>
  </si>
  <si>
    <t>Cantidad de gas R407 recargado en aires acondicionados en el sector industrial</t>
  </si>
  <si>
    <t>Cantidad de gas R410a recargado en aires acondicionados en el sector industrial</t>
  </si>
  <si>
    <t>Cantidad de gas R502 recargado en aires acondicionados en el sector industrial</t>
  </si>
  <si>
    <t>Cantidad de gas R507 recargado en aires acondicionados en el sector industrial</t>
  </si>
  <si>
    <t>Cantidad de gas R514 recargado en aires acondicionados en el sector industrial</t>
  </si>
  <si>
    <t>Cantidad de gas R410a fugitivo por uso de camiones refrigerados en el sector industrial</t>
  </si>
  <si>
    <t>Se realizaron encuestas  a una población representativa de industrias, los cuales suministraron datos sobre el uso de camiones refrigerados en el sector. Se utilizan suposiciones y datos basados en el  inventario de GEI de Refrigeración y AC para CR (2012-2016)</t>
  </si>
  <si>
    <t>Cantidad de gas R141b fugitivo por uso de camiones refrigerados en el sector industrial</t>
  </si>
  <si>
    <t>Cantidad de gas R410a recargado en camiones refrigerados en el sector industrial</t>
  </si>
  <si>
    <t>Cantidad de gas R141b recargado en  camiones refrigerados en el sector industrial</t>
  </si>
  <si>
    <t>Cantidad de gas R170 utilizado en equipos refrigerados en el sector comercial</t>
  </si>
  <si>
    <t>Cantidad de gas R23 utilizado en equipos refrigerados en el sector comercial</t>
  </si>
  <si>
    <t>Cantidad de gas R290 utilizado en equipos refrigerados en el sector comercial</t>
  </si>
  <si>
    <t>Cantidad de gas R404a utilizado en equipos refrigerados en el sector comercial</t>
  </si>
  <si>
    <t>Cantidad de gas R410 utilizado en equipos refrigerados en el sector comercial</t>
  </si>
  <si>
    <t>Cantidad de gas R507 utilizado en equipos refrigerados en el sector comercial</t>
  </si>
  <si>
    <t>Cantidad de gas R600a utilizado en equipos refrigerados en el sector comercial</t>
  </si>
  <si>
    <t>Cantidad de gas R134a recargado en equipos refrigerados en el sector industrial</t>
  </si>
  <si>
    <t>Se realizaron encuestas  a una población representativa de fincas, los cuales suministraron datos sobre el uso deequipos refrigerados en el sector. Se utilizan suposiciones y datos basados en el  inventario de GEI de Refrigeración y AC para CR (2012-2016)</t>
  </si>
  <si>
    <t>Cantidad de gas R600 utilizado en equipos refrigerados en el sector comercial</t>
  </si>
  <si>
    <t>Resumen de emisiones para el sector IPPU</t>
  </si>
  <si>
    <t>5. Sector Agricultura, Silvicultura y Otros Usos de la Tierra</t>
  </si>
  <si>
    <t>5.1. Sub sector Ganadería</t>
  </si>
  <si>
    <t>Emisiones por la ganadería que se desarrolla dentro de la ciudad</t>
  </si>
  <si>
    <t>Emisiones por el proceso digestivo de ganado para carne</t>
  </si>
  <si>
    <t>Emisiones por el proceso digestivo de ganado para carne en las fincas agropecuarias de la ciudad</t>
  </si>
  <si>
    <t>machos adultos</t>
  </si>
  <si>
    <t>kg de GEI/cabeza de ganado</t>
  </si>
  <si>
    <t>Se consultó el censo nacional agropecuario del 2016 la cantidad de cabezas de ganado por tipo y uso que existen  la ciudad y se calcularon sus emisiones usando los factores de emisión nacionales</t>
  </si>
  <si>
    <t>INEC
Ministerio de Agricultura y Ganadería</t>
  </si>
  <si>
    <t>Se considera calidad media de la información porque se realizó una proyección de acuerdo a los datos del censo de 2016 para la población de ganado presente en la ciudad para el año del reporte 2017</t>
  </si>
  <si>
    <t>Emisiones por el proceso digestivo de ganado vacuno</t>
  </si>
  <si>
    <t>Emisiones por el proceso digestivo de vacas hembras adultas para doble propósito en las fincas agropecuarias de la ciudad</t>
  </si>
  <si>
    <t>hembras de doble propósito adultas</t>
  </si>
  <si>
    <t xml:space="preserve">Se consulta de forma directa a SENASA, quienes suministran datos sobre la cantidad de animales en el cantón. A través de encuestas representativas a fincas, se obtienen la distribución de los animales por tipo y propósito  para el sector agropecuario en el año de reporte. Se usan FE del IMN más actualizados. </t>
  </si>
  <si>
    <t>SENASA/Encuesta agropecuaria</t>
  </si>
  <si>
    <t>Se considera alta ya que la información fue suministrada directamente por el departamento  encargado en el cantón y por encuestas representativas en el año de reporte.</t>
  </si>
  <si>
    <t>Emisiones por el proceso digestivo de vacas hembras adultas para carne en las fincas agropecuarias de la ciudad</t>
  </si>
  <si>
    <t>hembras de carne adultas</t>
  </si>
  <si>
    <t>Emisiones por el proceso digestivo de vacas machos adultos para carne en las fincas agropecuarias de la ciudad</t>
  </si>
  <si>
    <t>machos de carne adultos</t>
  </si>
  <si>
    <t>Emisiones por manejo de estiércol de actividades vacunas (ganado) en las fincas agropecuarias de la ciudad</t>
  </si>
  <si>
    <t>total de cabezas de ganado</t>
  </si>
  <si>
    <t>Emisiones por el proceso digestivo de ganado caballar</t>
  </si>
  <si>
    <t>Emisiones por el proceso digestivo de ganado caballar para en las fincas agropecuarias de la ciudad</t>
  </si>
  <si>
    <t>total de caballos y mulas</t>
  </si>
  <si>
    <t>Emisiones por manejo de estiércol de actividades caballares</t>
  </si>
  <si>
    <t>Emisiones por manejo de estiércol de actividades caballares en las fincas agropecuarias de la ciudad</t>
  </si>
  <si>
    <t>Emisiones por manejo de estiércol de aves de corral</t>
  </si>
  <si>
    <t>Emisiones por manejo de estiércol de actividades de aves de corral en las fincas agropecuarias de la ciudad</t>
  </si>
  <si>
    <t>total de pollos, pollas, gallos y gallinas</t>
  </si>
  <si>
    <t>5.2. Sub sector Uso de la Tierra</t>
  </si>
  <si>
    <t>Emisiones por el uso de la tierra dentro de los límites de la ciudad</t>
  </si>
  <si>
    <t>Emisiones por el uso de suelo en quema de cultivos</t>
  </si>
  <si>
    <t>Emisiones generadas por quemas clandestinas y controladas de charrales en el cantón</t>
  </si>
  <si>
    <t>kg totales de materia seca consumida</t>
  </si>
  <si>
    <t>kg GEI/kg de materia seca consumida</t>
  </si>
  <si>
    <t>Se solicitó a funcionarios del cuerpo de bomberos en el cantón, por acceso a los reportes de quemas  a cielo abierto durante el 2021. Los datos utilizados son tomados del Cap 2 de metodologías genéricas aplicadas a uso de la tierra, ecuación 2.27, cuadros 2.4 y 2.5. Se asume que los datos de "charrales" se corresponden a "pastos tropicales y subtropicales de quema media/tardía de la estación seca" (Cuadro 2.4) y  factor de emisión de "Sabana y pastizales" (Cuadro 2.5).</t>
  </si>
  <si>
    <t>Bomberos</t>
  </si>
  <si>
    <t xml:space="preserve">Se considera calidad media ya que la información brindada corresponde a la recopilada por el cuerpo de bomberos cada vez que se da una quema en charrales. Se asume que el tèrmino "charrales" puede corresponderse a sabana y pastizales. </t>
  </si>
  <si>
    <t>Emisiones por el  uso continuo de suelo (forma permanente)</t>
  </si>
  <si>
    <t>Total de emisiones por el cambio de uso del suelo en Belén 2005-2020</t>
  </si>
  <si>
    <t xml:space="preserve">ton C </t>
  </si>
  <si>
    <t>ton CO2 eq / ton C</t>
  </si>
  <si>
    <t>Se sigue la metodologia IPCC 2006 with 2019 revisions Volumen 4  - Equation 2.9 Tier 1, Tables 4.12, 2.2, 2.3</t>
  </si>
  <si>
    <t>Información geográfica histórica para el año 20051 2018 y 2020</t>
  </si>
  <si>
    <t>Se considera calidad alta ya que los mapas de uso provienen de bases de datos nacionales</t>
  </si>
  <si>
    <t>Total de remociones por el cambio de uso del suelo en Belén 2005-2020</t>
  </si>
  <si>
    <t>ton C</t>
  </si>
  <si>
    <t xml:space="preserve">5.3. Sub sector Fuentes agregadas-Uso de fertilizantes </t>
  </si>
  <si>
    <t>Emisiones por el uso de fuente agregadas distintas de CO2  dentro de los límites de la ciudad</t>
  </si>
  <si>
    <t>Emisiones por aplicación de fertilizantes en producción de apio</t>
  </si>
  <si>
    <t>Hectáreas destinadas a la producción de apio</t>
  </si>
  <si>
    <t>ha/año</t>
  </si>
  <si>
    <t>Se consulta la página de InfoAgro, del MAG, para determinar aplicación de fertilizantes y cal. Se realizaron encuestas  a una población representativa de fincas agropecuarias las cuales suministraron datos sobre el cultivo de café en el sector.</t>
  </si>
  <si>
    <t>Encuestas al sector agropecuario/InfoAgro</t>
  </si>
  <si>
    <t>Se considera media ya que la información de cultivo  fue suministrada por encuestas representativas. Sin embargo, el FE debe calcularse basado en información de modelos de costo de producción del MAG.</t>
  </si>
  <si>
    <t>Emisiones por aplicación de fertilizantes en producción de ayote</t>
  </si>
  <si>
    <t>Hectáreas destinadas a la producción de ayote</t>
  </si>
  <si>
    <t xml:space="preserve">Se consulta la página de InfoAgro, del MAG, para determinar aplicación de fertilizantes y cal. Se realizaron encuestas  a una población representativa de fincas agropecuarias las cuales suministraron datos sobre el cultivo de café en el sector. </t>
  </si>
  <si>
    <t>Emisiones por aplicación de fertilizantes en producción de banano</t>
  </si>
  <si>
    <t>Hectáreas destinadas a la producción de banano</t>
  </si>
  <si>
    <t>Se realizaron encuestas  a una población representativa de fincas agropecuarias las cuales suministraron datos sobre el cultivo de banano. Se usa FE más actualizado reportado por el IMN.</t>
  </si>
  <si>
    <t>Emisiones por aplicación de fertilizantes en producción de café sin sombra</t>
  </si>
  <si>
    <t>Hectáreas destinadas a la producción de café sin sombra</t>
  </si>
  <si>
    <t>Se realizaron encuestas  a una población representativa de fincas agropecuarias las cuales suministraron datos sobre el cultivo de café en el sector. Se usa FE más actualizado reportado por el IMN.</t>
  </si>
  <si>
    <t>Emisiones por aplicación de fertilizantes en producción de camote</t>
  </si>
  <si>
    <t>Hectáreas destinadas a la producción de camote</t>
  </si>
  <si>
    <t xml:space="preserve">Se consulta la página de InfoAgro, del MAG, para determinar aplicación de fertilizantes y cal. Se realizaron encuestas  a una población representativa de fincas agropecuarias las cuales suministraron datos sobre el cultivo de camote en el sector. </t>
  </si>
  <si>
    <t>Emisiones por aplicación de fertilizantes en producción de cebolla</t>
  </si>
  <si>
    <t>Hectáreas destinadas a la producción de cebolla</t>
  </si>
  <si>
    <t>Se realizaron encuestas  a una población representativa de fincas agropecuarias las cuales suministraron datos sobre el cultivo de cebolla. Se usa FE más actualizado reportado por el IMN.</t>
  </si>
  <si>
    <t>Emisiones por aplicación de fertilizantes en producción de chile</t>
  </si>
  <si>
    <t>Hectáreas destinadas a la producción de chile</t>
  </si>
  <si>
    <t xml:space="preserve">Se consulta la página de InfoAgro, del MAG, para determinar aplicación de fertilizantes y cal. Se realizaron encuestas  a una población representativa de fincas agropecuarias las cuales suministraron datos sobre el cultivo de chile en el sector. </t>
  </si>
  <si>
    <t>Emisiones por aplicación de fertilizantes en producción de frijol</t>
  </si>
  <si>
    <t>Hectáreas destinadas a la producción de frijol</t>
  </si>
  <si>
    <t xml:space="preserve">Se consulta la página de InfoAgro, del MAG, para determinar aplicación de fertilizantes y cal. Se realizaron encuestas  a una población representativa de fincas agropecuarias las cuales suministraron datos sobre el cultivo de frijol en el sector. </t>
  </si>
  <si>
    <t>Emisiones por aplicación de fertilizantes en producción de guanábana</t>
  </si>
  <si>
    <t>Hectáreas destinadas a la producción de guanábana</t>
  </si>
  <si>
    <t xml:space="preserve">Se consulta la página de InfoAgro, del MAG, para determinar aplicación de fertilizantes y cal. Se realizaron encuestas  a una población representativa de fincas agropecuarias las cuales suministraron datos sobre el cultivo de guanábana en el sector. </t>
  </si>
  <si>
    <t>Emisiones por aplicación de fertilizantes en producción de lechuga</t>
  </si>
  <si>
    <t>Hectáreas destinadas a la producción de lechuga</t>
  </si>
  <si>
    <t>Se consulta la página de InfoAgro, del MAG, para determinar aplicación de fertilizantes y cal. Se realizaron encuestas  a una población representativa de fincas agropecuarias las cuales suministraron datos sobre el cultivo de lechuga en el sector</t>
  </si>
  <si>
    <t>Emisiones por aplicación de fertilizantes en producción de limón</t>
  </si>
  <si>
    <t>Hectáreas destinadas a la producción de limón</t>
  </si>
  <si>
    <t>Se realizaron encuestas  a una población representativa de fincas agropecuarias las cuales suministraron datos sobre el cultivo de limón en el sector</t>
  </si>
  <si>
    <t>Emisiones por aplicación de fertilizantes en producción de maíz</t>
  </si>
  <si>
    <t>Hectáreas destinadas a la producción de maíz</t>
  </si>
  <si>
    <t>Se consulta la página de InfoAgro, del MAG, para determinar aplicación de fertilizantes y cal. Se realizaron encuestas  a una población representativa de fincas agropecuarias las cuales suministraron datos sobre el cultivo de maíz en el sector</t>
  </si>
  <si>
    <t>Emisiones por aplicación de fertilizantes en producción de naranja</t>
  </si>
  <si>
    <t>Hectáreas destinadas a la producción de naranja</t>
  </si>
  <si>
    <t>Se realizaron encuestas  a una población representativa de fincas agropecuarias las cuales suministraron datos sobre el cultivo de naranja en el sector</t>
  </si>
  <si>
    <t>Emisiones por aplicación de fertilizantes en producción de papa</t>
  </si>
  <si>
    <t>Hectáreas destinadas a la producción de papa</t>
  </si>
  <si>
    <t>Se realizaron encuestas  a una población representativa de fincas agropecuarias las cuales suministraron datos sobre el cultivo de papa. Se usa FE más actualizado reportado por el IMN.</t>
  </si>
  <si>
    <t>Emisiones por aplicación de fertilizantes en producción de papaya</t>
  </si>
  <si>
    <t>Hectáreas destinadas a la producción de papaya</t>
  </si>
  <si>
    <t>Se realizaron encuestas  a una población representativa de fincas agropecuarias las cuales suministraron datos sobre el cultivo de papaya en el sector</t>
  </si>
  <si>
    <t>Emisiones por aplicación de fertilizantes en producción de piña</t>
  </si>
  <si>
    <t>Hectáreas destinadas a la producción de piña</t>
  </si>
  <si>
    <t>Se consulta la página de InfoAgro, del MAG, para determinar aplicación de fertilizantes y cal. Se realizaron encuestas  a una población representativa de fincas agropecuarias las cuales suministraron datos sobre el cultivo de piña en el sector</t>
  </si>
  <si>
    <t>Emisiones por aplicación de fertilizantes en producción de plátano</t>
  </si>
  <si>
    <t>Hectáreas destinadas a la producción de plátano</t>
  </si>
  <si>
    <t>Se realizaron encuestas  a una población representativa de fincas agropecuarias las cuales suministraron datos sobre el cultivo de plátano. Se usa FE más actualizado reportado por el IMN.</t>
  </si>
  <si>
    <t>Emisiones por aplicación de fertilizantes en producción de tomate</t>
  </si>
  <si>
    <t>Hectáreas destinadas a la producción de tomate</t>
  </si>
  <si>
    <t>Se consulta la página de InfoAgro, del MAG, para determinar aplicación de fertilizantes y cal. Se realizaron encuestas  a una población representativa de fincas agropecuarias las cuales suministraron datos sobre el cultivo de tomate en el sector</t>
  </si>
  <si>
    <t>Emisiones por aplicación de fertilizantes en producción de yuca</t>
  </si>
  <si>
    <t>Hectáreas destinadas a la producción de yuca</t>
  </si>
  <si>
    <t>Se realizaron encuestas  a una población representativa de fincas agropecuarias las cuales suministraron datos sobre el cultivo de yuca en el sector</t>
  </si>
  <si>
    <t>Emisiones por aplicación de fertilizantes en producción de zuquini</t>
  </si>
  <si>
    <t>Hectáreas destinadas a la producción de zuquini</t>
  </si>
  <si>
    <t>Se consulta la página de InfoAgro, del MAG, para determinar aplicación de fertilizantes y cal. Se realizaron encuestas  a una población representativa de fincas agropecuarias las cuales suministraron datos sobre el cultivo de zuquini en el sector</t>
  </si>
  <si>
    <t>Emisiones por la aplicación de cal</t>
  </si>
  <si>
    <t>Cantidad de cal aplicada a apio dentro de la comunidad</t>
  </si>
  <si>
    <t>ton/año</t>
  </si>
  <si>
    <t>Se consulta la página de InfoAgro, del MAG, para determinar aplicación de fertilizantes y cal. Se realizaron encuestas  a una población representativa de fincas agropecuarias las cuales suministraron datos sobre el cultivo de apio en el sector</t>
  </si>
  <si>
    <t>Se considera media ya que aunque la información de cultivo  fue suministrada por encuestas representativas, la aplicación de cal sale de un documento oficial de referencia</t>
  </si>
  <si>
    <t>Cantidad de cal aplicada a chile dentro de la comunidad</t>
  </si>
  <si>
    <t>Se consulta la página de InfoAgro, del MAG, para determinar aplicación de fertilizantes y cal. Se realizaron encuestas  a una población representativa de fincas agropecuarias las cuales suministraron datos sobre el cultivo de chile en el sector</t>
  </si>
  <si>
    <t>Cantidad de cal aplicada a camote dentro de la comunidad</t>
  </si>
  <si>
    <t>Se consulta la página de InfoAgro, del MAG, para determinar aplicación de fertilizantes y cal. Se realizaron encuestas  a una población representativa de fincas agropecuarias las cuales suministraron datos sobre el cultivo de camote en el sector</t>
  </si>
  <si>
    <t>Cantidad de cal aplicada a guanábana dentro de la comunidad</t>
  </si>
  <si>
    <t>Se consulta la página de InfoAgro, del MAG, para determinar aplicación de fertilizantes y cal. Se realizaron encuestas  a una población representativa de fincas agropecuarias las cuales suministraron datos sobre el cultivo de guanábana en el sector</t>
  </si>
  <si>
    <t>Cantidad de cal aplicada a lechuga dentro de la comunidad</t>
  </si>
  <si>
    <t>Cantidad de cal aplicada a piña dentro de la comunidad</t>
  </si>
  <si>
    <t>Cantidad de cal aplicada a tomate dentro de la comunidad</t>
  </si>
  <si>
    <t>Resumen de emisiones para el sector AFOLU</t>
  </si>
  <si>
    <t>3.1. Emisiones netas</t>
  </si>
  <si>
    <t>Alcance 1 (ton CO2 eq)</t>
  </si>
  <si>
    <t>Alcance 2 (ton CO2 eq)</t>
  </si>
  <si>
    <t>Alcance 3
(ton CO2 eq)</t>
  </si>
  <si>
    <t>Porcentaje</t>
  </si>
  <si>
    <t>Edificios residenciales</t>
  </si>
  <si>
    <t>Edificios e instalaciones comerciales e institucionales</t>
  </si>
  <si>
    <t>Construcción e industrias manufactureras</t>
  </si>
  <si>
    <t>Industrias energéticas</t>
  </si>
  <si>
    <t>Actividades agrícolas, de silvicultura y de pesca</t>
  </si>
  <si>
    <t>Fuentes no especificadas</t>
  </si>
  <si>
    <t>Emisiones fugitivas provenientes de la minería, el procesamiento, el almacenamiento y
el transporte de carbón</t>
  </si>
  <si>
    <t>No aplica</t>
  </si>
  <si>
    <t>Emisiones fugitivas provenientes de los sistemas de petróleo y gas natural</t>
  </si>
  <si>
    <t>Por carretera</t>
  </si>
  <si>
    <t>Ferroviario</t>
  </si>
  <si>
    <t>Navegación marítima, fluvial y lacustre</t>
  </si>
  <si>
    <t>Aviación</t>
  </si>
  <si>
    <t>Fuera de carretera</t>
  </si>
  <si>
    <t>Disposición de residuos sólidos generados en la ciudad</t>
  </si>
  <si>
    <t>Tratamiento biológico de residuos generados en la ciudad</t>
  </si>
  <si>
    <t>Incineración y quema a cielo abierto de residuos generados en la ciudad</t>
  </si>
  <si>
    <t>Aguas residuales generadas en la ciudad</t>
  </si>
  <si>
    <t>Sector Procesos Industriales y Uso de Productos</t>
  </si>
  <si>
    <t>Procesos Industriales</t>
  </si>
  <si>
    <t>Uso de Productos</t>
  </si>
  <si>
    <t>Sector Agricultura, Silvicultura y Otros Usos de la Tierra</t>
  </si>
  <si>
    <t>Ganadería</t>
  </si>
  <si>
    <t>Uso de la Tierra</t>
  </si>
  <si>
    <t>Fuentes agregadas y emisiones procedentes de fuentes del suelo distintas  al CO2</t>
  </si>
  <si>
    <t>Total de emisiones por alcance</t>
  </si>
  <si>
    <t xml:space="preserve">Total de emisiones </t>
  </si>
  <si>
    <t xml:space="preserve">Total de remociones </t>
  </si>
  <si>
    <t>Total de emisiones netas</t>
  </si>
  <si>
    <t>Emisiones per cápita (tCO2e/persona)</t>
  </si>
  <si>
    <t>Emisiones per cápita sin considerar el sector industrial (tCO2e/persona)</t>
  </si>
  <si>
    <t>Emisiones por industria (tCO2e/industria)</t>
  </si>
  <si>
    <t>Cuadro resumen</t>
  </si>
  <si>
    <t>Emisiones totales</t>
  </si>
  <si>
    <t>Sector energía estacionaria</t>
  </si>
  <si>
    <t>Sector transporte</t>
  </si>
  <si>
    <t>Sector residuos</t>
  </si>
  <si>
    <t>Sector AFOLU</t>
  </si>
  <si>
    <t>Resumen por gas de GEI para el cantón de Belén, 2021</t>
  </si>
  <si>
    <t>Total emisiones</t>
  </si>
  <si>
    <t>4.1. Anexos Energía Estacionaria</t>
  </si>
  <si>
    <t>4.1. Alcance 1: Datos recopilados para consumo de combustibles en equipo estacionario</t>
  </si>
  <si>
    <t>Datos brindados por RECOPE</t>
  </si>
  <si>
    <t>Consumo total de combustible en industria (L)</t>
  </si>
  <si>
    <t>Cliente</t>
  </si>
  <si>
    <t>DIESEL 50</t>
  </si>
  <si>
    <t>GASOLINA Plus</t>
  </si>
  <si>
    <t>Gasolina Súper</t>
  </si>
  <si>
    <t>Bunker</t>
  </si>
  <si>
    <t>Industria Manufacturera</t>
  </si>
  <si>
    <t>Datos de encuesta a hogares</t>
  </si>
  <si>
    <t>Consumo total de combustible en hogares</t>
  </si>
  <si>
    <t>Cantidad total de hogares</t>
  </si>
  <si>
    <t xml:space="preserve">GASOLINA </t>
  </si>
  <si>
    <t>BUNKER C</t>
  </si>
  <si>
    <t>TOTAL GLP</t>
  </si>
  <si>
    <t>Lubricantes como combustible</t>
  </si>
  <si>
    <t>Muestra</t>
  </si>
  <si>
    <t>L/año*hogar</t>
  </si>
  <si>
    <t>Población</t>
  </si>
  <si>
    <t>Consumo total de combustible en el cantón  (l/año)</t>
  </si>
  <si>
    <t>Consumo total de biomasa en hogares</t>
  </si>
  <si>
    <t>kg/año*hogar</t>
  </si>
  <si>
    <t>Consumo total (Gg/año)</t>
  </si>
  <si>
    <t>Valor calórico (TJ/Gg)</t>
  </si>
  <si>
    <t>Energía consumida (TJ)</t>
  </si>
  <si>
    <t>Consumo total de biomasa (kg/año)</t>
  </si>
  <si>
    <t>Consumo de biogás en hogares</t>
  </si>
  <si>
    <t>Consumo de biogás quemado (kg/año)</t>
  </si>
  <si>
    <t>Datos de encuesta a comercios e instituciones</t>
  </si>
  <si>
    <t>Consumo total de combustible en comercios</t>
  </si>
  <si>
    <t>L/año*comercio</t>
  </si>
  <si>
    <t>Consumo total de biomasa en comercios</t>
  </si>
  <si>
    <t>kg/año*comercio</t>
  </si>
  <si>
    <t>Datos de encuesta a industrias</t>
  </si>
  <si>
    <t>Consumo total de combustible en industria</t>
  </si>
  <si>
    <t>Cantidad total de industrias</t>
  </si>
  <si>
    <t>L/año*industria</t>
  </si>
  <si>
    <t>Consumo total de biomasa en Industrias</t>
  </si>
  <si>
    <t>kg/año*industria</t>
  </si>
  <si>
    <t>Consumo de biogás en industria</t>
  </si>
  <si>
    <t>Datos de encuesta agropecuaria</t>
  </si>
  <si>
    <t>Consumo total de combustible en fincas</t>
  </si>
  <si>
    <t>Cantidad total de fincas</t>
  </si>
  <si>
    <t>L/año*finca</t>
  </si>
  <si>
    <t>Consumo total de biomasa en fincas</t>
  </si>
  <si>
    <t>kg/año*finca</t>
  </si>
  <si>
    <t>4.2. Alcance 2: Datos recopilados para consumo eléctrico</t>
  </si>
  <si>
    <t>Datos brindados por la CNFL</t>
  </si>
  <si>
    <t>Cantón de Belén</t>
  </si>
  <si>
    <t>Cartago 2018</t>
  </si>
  <si>
    <t>Tarifa</t>
  </si>
  <si>
    <t>Consumo kWh</t>
  </si>
  <si>
    <t>Residencial</t>
  </si>
  <si>
    <t>General</t>
  </si>
  <si>
    <t>Industrial</t>
  </si>
  <si>
    <t>Residencial CNFL</t>
  </si>
  <si>
    <t>Datos de encuesta industrial</t>
  </si>
  <si>
    <t>Cantón de Belén-ICE</t>
  </si>
  <si>
    <t>Preferencial ICE</t>
  </si>
  <si>
    <t xml:space="preserve">4.2. Alcance 3: Datos recopilados para consumo eléctrico Pérdidas por distribución y transmisión </t>
  </si>
  <si>
    <t>Pérdidas por distribución y transmisión CNFL</t>
  </si>
  <si>
    <t>Sector</t>
  </si>
  <si>
    <t>Pérdidas por distribución y transmisión</t>
  </si>
  <si>
    <t>Valor</t>
  </si>
  <si>
    <t xml:space="preserve">Pérdidas por distribución y transmisión </t>
  </si>
  <si>
    <t>Datos brindados por el ICE</t>
  </si>
  <si>
    <t>4.2. Anexos de Transporte</t>
  </si>
  <si>
    <t>4.2. Alcance 1: Datos recopilados para consumo de combustibles por vehículos en carretera</t>
  </si>
  <si>
    <t>Consumo total de combustible en transporte (L)</t>
  </si>
  <si>
    <t>Estaciones de servicio</t>
  </si>
  <si>
    <t>Peddler</t>
  </si>
  <si>
    <t>Transporte terrestre</t>
  </si>
  <si>
    <t>Consumo total de combustible por transporte en hogares, alcance 1</t>
  </si>
  <si>
    <t>GLP</t>
  </si>
  <si>
    <t>Datos de encuesta a comercios</t>
  </si>
  <si>
    <t>Consumo de combustible de vehículos de trabajo por carretera en comercio</t>
  </si>
  <si>
    <t>Consumo de combustible de vehículos de trabajo fuera de carretera en comercio</t>
  </si>
  <si>
    <t>Consumo de combustible de vehículos de pasajeros en comercio</t>
  </si>
  <si>
    <t>Consumo de combustible de vehículos de trabajo por carretera en industria</t>
  </si>
  <si>
    <t>Consumo de combustible de vehículos de trabajo fuera de carretera en industria</t>
  </si>
  <si>
    <t>Consumo de combustible de vehículos de pasajeros en industria</t>
  </si>
  <si>
    <t>Consumo de combustible de vehículos de colaboradores de industria que vienen de afuera del cantón</t>
  </si>
  <si>
    <t>Consumo de combustible de vehículos de trabajo por carretera en fincas</t>
  </si>
  <si>
    <t>Consumo de combustible de vehículos de pasajeros en fincas</t>
  </si>
  <si>
    <t>4.2. Alcance 1: Datos recopilados para consumo de combustibles por transporte de residuos dentro del cantón</t>
  </si>
  <si>
    <t>Datos brindados por SOLIRSA</t>
  </si>
  <si>
    <t>Total de combustible diésel consumido por el transporte de residuos electrónicos, pilas y fluorescentes de belén a Uruca</t>
  </si>
  <si>
    <t>Total de viajes/año</t>
  </si>
  <si>
    <t>Consumo por viaje (L)</t>
  </si>
  <si>
    <t>Consumo dentro de Belén</t>
  </si>
  <si>
    <t>Total de km del viaje</t>
  </si>
  <si>
    <t>Porción dentro de belén</t>
  </si>
  <si>
    <t>Porción fuera de belén</t>
  </si>
  <si>
    <t>Datos brindados por Recresco</t>
  </si>
  <si>
    <t>Total de diésel consumido (L/año)</t>
  </si>
  <si>
    <t>km totales del viaje</t>
  </si>
  <si>
    <t>Dentro de belen</t>
  </si>
  <si>
    <t>fuera de belen</t>
  </si>
  <si>
    <t>Consumo de alcance 1 (L/año)</t>
  </si>
  <si>
    <t>Datos brindados por EBI</t>
  </si>
  <si>
    <t>Consumo de diésel por el transporte de residuos no valorizables</t>
  </si>
  <si>
    <t>Tipo de Unidades</t>
  </si>
  <si>
    <t>Cantidad de Unidades</t>
  </si>
  <si>
    <t>Viajes por unidad al día</t>
  </si>
  <si>
    <t>L por unidad y por viaje</t>
  </si>
  <si>
    <t>Viajes al año</t>
  </si>
  <si>
    <t>L/año</t>
  </si>
  <si>
    <t>Fuera de belen</t>
  </si>
  <si>
    <t>Carga Pesada</t>
  </si>
  <si>
    <t>Carga Liviana</t>
  </si>
  <si>
    <t>4.2. Alcance 1: Datos recopilados para consumo de combustibles por transporte ferroviario</t>
  </si>
  <si>
    <t>Datos brindados por INCOFER para el trayecto San José-Belén</t>
  </si>
  <si>
    <t>Tipo de maquinaria</t>
  </si>
  <si>
    <t>DMU</t>
  </si>
  <si>
    <t>DMUH</t>
  </si>
  <si>
    <t>4.2. Alcance 1: Datos recopilados para consumo de combustibles por AUTOBUSES en Belén</t>
  </si>
  <si>
    <t>Datos brindados por encuesta a empresas de servicio de autobús</t>
  </si>
  <si>
    <t xml:space="preserve">4.2. Alcance 3: Datos recopilados para consumo de combustibles fuera del cantón por vehículos en carretera </t>
  </si>
  <si>
    <t>Consumo total de combustible por transporte en hogares, alcance 3</t>
  </si>
  <si>
    <t>Consumo total de combustible en el distrito (l/año)</t>
  </si>
  <si>
    <t>4.2. Alcance 3: Datos recopilados para consumo de combustibles por transporte de residuos fuera del cantón</t>
  </si>
  <si>
    <t>Consumo fuera de Belén</t>
  </si>
  <si>
    <t>Consumo de alcance 3 (L/año)</t>
  </si>
  <si>
    <t>4.2. Alcance 3: Datos recopilados para consumo de combustibles por transporte ferroviario</t>
  </si>
  <si>
    <t>4.2. Alcance 2: Datos recopilados para vehículos eléctricos</t>
  </si>
  <si>
    <t>Consumo de Electricidad, dentro del cantón</t>
  </si>
  <si>
    <t xml:space="preserve">kWh en alcance 2 </t>
  </si>
  <si>
    <t>Consumo de Electricidad, fuera del cantón</t>
  </si>
  <si>
    <t>4.2. Alcance 3: Datos recopilados para consumo de combustibles por AUTOBUSES que pasan por Belén</t>
  </si>
  <si>
    <t>4.3. Anexos de Residuos</t>
  </si>
  <si>
    <t>4.1. Alcance 3: Datos recopilados sobre residuos sólidos tratados en relleno sanitarios fuera del cantón</t>
  </si>
  <si>
    <t>Datos brindados por la Municipalidad</t>
  </si>
  <si>
    <t>kg de residuos enviados a relleno sanitario</t>
  </si>
  <si>
    <t>4.1. Alcance 1: Datos recopilados sobre compostaje de residuos en el cantón</t>
  </si>
  <si>
    <t>Residuos tratados por compost</t>
  </si>
  <si>
    <t>kg/vivienda</t>
  </si>
  <si>
    <t xml:space="preserve">Total anual (kg) </t>
  </si>
  <si>
    <t>Residuos tratados por lombricompost</t>
  </si>
  <si>
    <t>Cantidad total de comercios</t>
  </si>
  <si>
    <t>kg/comercio</t>
  </si>
  <si>
    <t>kg/industria</t>
  </si>
  <si>
    <t>kg/finca</t>
  </si>
  <si>
    <t>4.1. Alcance 1: Datos recopilados sobre quema de residuos en el cantón</t>
  </si>
  <si>
    <t>Datos brindados por Bomberos de Belén</t>
  </si>
  <si>
    <t>Quemas de residuos en el cantón de belén</t>
  </si>
  <si>
    <t>Área de quema (m2)</t>
  </si>
  <si>
    <t>Densidad (kg/m3)</t>
  </si>
  <si>
    <t>kg/m</t>
  </si>
  <si>
    <t>Altura apróx. (m)</t>
  </si>
  <si>
    <t>Residuos (kg)</t>
  </si>
  <si>
    <t>Residuos (Gg)</t>
  </si>
  <si>
    <t>Residuos tratados por quema</t>
  </si>
  <si>
    <t xml:space="preserve">Total anual (Gg) </t>
  </si>
  <si>
    <t>Composición de los residuos</t>
  </si>
  <si>
    <t>Tipo de residuo</t>
  </si>
  <si>
    <t>Comercial</t>
  </si>
  <si>
    <t>Promedio general</t>
  </si>
  <si>
    <t>Orgánico</t>
  </si>
  <si>
    <t>Plástico</t>
  </si>
  <si>
    <t>Cartón/Papel</t>
  </si>
  <si>
    <t>Vidrio</t>
  </si>
  <si>
    <t>Otros</t>
  </si>
  <si>
    <t>Textiles</t>
  </si>
  <si>
    <t>Aluminio</t>
  </si>
  <si>
    <t>Peligrosos</t>
  </si>
  <si>
    <t>Polialuminio</t>
  </si>
  <si>
    <t>Electrónico</t>
  </si>
  <si>
    <t>Para calcular la altura aproximada se toma como referencia quemas en basureros y contenedores y las dimensiones promedio de los mismos. La información de contenedores se toma de información de mercado de recepietnes disponibles.</t>
  </si>
  <si>
    <t>Tipo de contenedor</t>
  </si>
  <si>
    <t>Altura (m)</t>
  </si>
  <si>
    <t>Ancho (m)</t>
  </si>
  <si>
    <t>Profundidad (m)</t>
  </si>
  <si>
    <t>Basurero 170 L</t>
  </si>
  <si>
    <t>Basurero 70 L</t>
  </si>
  <si>
    <t>Basurero 42 L</t>
  </si>
  <si>
    <t>Basurero 20 L</t>
  </si>
  <si>
    <t>Basurero 12 L</t>
  </si>
  <si>
    <t>Basurero 5 L</t>
  </si>
  <si>
    <t>Contenedor pequeño EBI</t>
  </si>
  <si>
    <t>Contenedor grande EBI</t>
  </si>
  <si>
    <t>Promedio</t>
  </si>
  <si>
    <t>Datos para cálculo de emisiones de CO2, CH4 y N2O por incineración a cielo abierto, IPCC 2019 y guía de implementación de comunidades, pág 73</t>
  </si>
  <si>
    <t>Parámetros necesarios para el cálculo de emisiones de CO2 por quema a cielo abierto</t>
  </si>
  <si>
    <t>Composición de los residuos (SW)</t>
  </si>
  <si>
    <t>Materia seca (dm)</t>
  </si>
  <si>
    <t>Fracción de carbono en la MS (CF)</t>
  </si>
  <si>
    <t>Fracción de carbono fósil (FCF)</t>
  </si>
  <si>
    <t>Orgánicos</t>
  </si>
  <si>
    <t>Papel y cartón</t>
  </si>
  <si>
    <t>Madera</t>
  </si>
  <si>
    <t>Metal</t>
  </si>
  <si>
    <t>Otros/inertes</t>
  </si>
  <si>
    <t>Estimación de parámetros necesarios  para el cálculo de emisiones de CO2 por quema a cielo abierto</t>
  </si>
  <si>
    <t>Estimación de materia seca (dm)</t>
  </si>
  <si>
    <t>Estimación de carbono total (CF)</t>
  </si>
  <si>
    <t>Estimación de carbono fósil (FCF)</t>
  </si>
  <si>
    <t>Factor de oxidación (OF)</t>
  </si>
  <si>
    <t>Conversión PM (CO2/C)</t>
  </si>
  <si>
    <t>Datos de residuos coprocesados en hornos cementeros según encuesta a industrias</t>
  </si>
  <si>
    <t>4.1. Alcance 1: Datos recopilados sobre entierro de residuos en el cantón</t>
  </si>
  <si>
    <t>Residuos enterrados por viviendas (W)</t>
  </si>
  <si>
    <t>Cantidad total de viviendas</t>
  </si>
  <si>
    <t>Residuos enterrados por fincas (W)</t>
  </si>
  <si>
    <t>Datos para cálculo de emisiones de CH4 por enterrar residuos, IPCC 2019 y guía de implementación de comunidades, pág 71</t>
  </si>
  <si>
    <t>Parámetros necesarios para el cálculo de emisiones por entierro</t>
  </si>
  <si>
    <t>Composición de los residuos (Wi)</t>
  </si>
  <si>
    <t>Contenido DOC en residuos</t>
  </si>
  <si>
    <t>Otros/inertes/no valorizables</t>
  </si>
  <si>
    <t>Cantidad de materia orgánica degradable (DOC)</t>
  </si>
  <si>
    <t>Carbono orgánico degradable disuelto (DDOCm)</t>
  </si>
  <si>
    <t>Parámetro</t>
  </si>
  <si>
    <t>Fracción DDOC que se descompone DOCf</t>
  </si>
  <si>
    <t>Factor correción CH4 (MCF)</t>
  </si>
  <si>
    <t>DOC</t>
  </si>
  <si>
    <t>C orgánico degradable disuelto (DDOCm) para residuos enterrados por viviendas (Gg)</t>
  </si>
  <si>
    <t>Parámetros para cálculo de CH4 por entierro</t>
  </si>
  <si>
    <t>Fracción volumétrica de CH4 (F)</t>
  </si>
  <si>
    <t>Relación CH4/C</t>
  </si>
  <si>
    <t>4.1. Alcance 1: Datos recopilados sobre tratamiento de aguas residuales domésticas en el cantón</t>
  </si>
  <si>
    <t xml:space="preserve">Datos brindados por Ministerio de Salud ARS </t>
  </si>
  <si>
    <t>Aguas residuales industriales y domésticas  tratadas y vertidas por Reactor Anaeróbico</t>
  </si>
  <si>
    <t>Ente</t>
  </si>
  <si>
    <t>Caudal de salida (m3/día)</t>
  </si>
  <si>
    <t>Caudal de salida (m3/año)</t>
  </si>
  <si>
    <t>DQO (mg/L)</t>
  </si>
  <si>
    <t>DQO de Salida (kg/año)</t>
  </si>
  <si>
    <t>Eficiencia de remoción</t>
  </si>
  <si>
    <t>DQO de entrada (kg/año)</t>
  </si>
  <si>
    <t>DQO removido (kg/año)</t>
  </si>
  <si>
    <t>Cuerpo Receptor</t>
  </si>
  <si>
    <t>ROP 1</t>
  </si>
  <si>
    <t>ROP 2</t>
  </si>
  <si>
    <t>ROP 3</t>
  </si>
  <si>
    <t>ROP 4</t>
  </si>
  <si>
    <t>Ente generador 1</t>
  </si>
  <si>
    <t>Rio Segundo</t>
  </si>
  <si>
    <t>Ente generador 3</t>
  </si>
  <si>
    <t>Río Segundo</t>
  </si>
  <si>
    <t>Ente generador 10</t>
  </si>
  <si>
    <t>Quebrada Seca (Rio Burío)</t>
  </si>
  <si>
    <t>Ente generador 11</t>
  </si>
  <si>
    <t>Ente generador 14</t>
  </si>
  <si>
    <t>Ente generador 15</t>
  </si>
  <si>
    <t>Ente generador 18</t>
  </si>
  <si>
    <t>Falta</t>
  </si>
  <si>
    <t>Río Bermudez</t>
  </si>
  <si>
    <t>Ente generador 19</t>
  </si>
  <si>
    <t>Ente generador 20</t>
  </si>
  <si>
    <t>Ente generador 22</t>
  </si>
  <si>
    <t>Ente generador 29</t>
  </si>
  <si>
    <t>Ente generador 30</t>
  </si>
  <si>
    <t>Ente generador 31</t>
  </si>
  <si>
    <t>Ente generador 32</t>
  </si>
  <si>
    <t>Reuso</t>
  </si>
  <si>
    <t>Ente generador 37</t>
  </si>
  <si>
    <t>Ente generador 40</t>
  </si>
  <si>
    <t>Ente generador 41</t>
  </si>
  <si>
    <t>Total vertido</t>
  </si>
  <si>
    <t>Total removido</t>
  </si>
  <si>
    <t>Aguas residuales industriales tratadas y vertidas por Reactor Aeróbico</t>
  </si>
  <si>
    <t>Ente generador 2</t>
  </si>
  <si>
    <t xml:space="preserve">Río Virilla </t>
  </si>
  <si>
    <t>Ente generador 4</t>
  </si>
  <si>
    <t>Ente generador 5</t>
  </si>
  <si>
    <t>Río Burío</t>
  </si>
  <si>
    <t>Ente generador 6</t>
  </si>
  <si>
    <t>Ente generador 7</t>
  </si>
  <si>
    <t>Ente generador 9</t>
  </si>
  <si>
    <t>Ente generador 13</t>
  </si>
  <si>
    <t>Ente generador 34</t>
  </si>
  <si>
    <t>Aguas residuales domésticas tratadas y vertidas por Reactor Aeróbico</t>
  </si>
  <si>
    <t>Ente generador 12</t>
  </si>
  <si>
    <t>Ente generador 16</t>
  </si>
  <si>
    <t>Ente generador 17</t>
  </si>
  <si>
    <t>Ente generador 21</t>
  </si>
  <si>
    <t>Ente generador 23</t>
  </si>
  <si>
    <t>Río Pirro</t>
  </si>
  <si>
    <t>Ente generador 24</t>
  </si>
  <si>
    <t>Ente generador 25</t>
  </si>
  <si>
    <t>Ente generador 26</t>
  </si>
  <si>
    <t>Río La Bermuda</t>
  </si>
  <si>
    <t>Ente generador 27</t>
  </si>
  <si>
    <t>Ente generador 28</t>
  </si>
  <si>
    <t>Ente generador 33</t>
  </si>
  <si>
    <t>Ente generador 35</t>
  </si>
  <si>
    <t>Ente generador 36</t>
  </si>
  <si>
    <t>Ente generador 38</t>
  </si>
  <si>
    <t>Ente generador 39</t>
  </si>
  <si>
    <t>Ente generador 42</t>
  </si>
  <si>
    <t>Ente generador 43</t>
  </si>
  <si>
    <t>Datos brindados por la municipalidad y el MINSA y encuestas</t>
  </si>
  <si>
    <t>Cantidad de habitantes para el año 2021</t>
  </si>
  <si>
    <t>Cantidad que utilizan PTAR Residencial</t>
  </si>
  <si>
    <t>Cantidad de personas que se asume utilizan tanque séptico</t>
  </si>
  <si>
    <t>Cantidad de hogares que hacen vertido directo a ríos</t>
  </si>
  <si>
    <t>Personas por hogar</t>
  </si>
  <si>
    <t>Personas que hacen vertido directo a ríos</t>
  </si>
  <si>
    <t>4.4. Anexos de IPPU</t>
  </si>
  <si>
    <t>4.1. Alcance 1: Datos recopilados sobre uso de extintores de CO2</t>
  </si>
  <si>
    <t>Total de CO2 recargado en extintores (kg)</t>
  </si>
  <si>
    <t xml:space="preserve">4.2. Alcance 1: Datos recopilados sobre uso de aires acondicionados </t>
  </si>
  <si>
    <t>Refrigerantes en Belen</t>
  </si>
  <si>
    <t>Cantidad de viviendas</t>
  </si>
  <si>
    <t>Cantidad promedio de equipos estimados (AC/hogar)</t>
  </si>
  <si>
    <t>hogares</t>
  </si>
  <si>
    <t>Cantidad de equipos estimados para el sector residencial (unidades totales)</t>
  </si>
  <si>
    <t>Uso de aires acondicionados</t>
  </si>
  <si>
    <t>Los datos se estiman tomando en cuenta que las unidades tipo Split sin ducto representan la mayor parte de los equipos de UAC en CR, según el inventario de GEI de Refrigeración y AC para CR (2012-2016)</t>
  </si>
  <si>
    <t>Tipo de refrigerante</t>
  </si>
  <si>
    <t>Proporcion utilizada</t>
  </si>
  <si>
    <t>Cantidad de unidades según refrigerante (unidades)</t>
  </si>
  <si>
    <t>Carga Inicial (kg/unidad)</t>
  </si>
  <si>
    <t>Cantidad de refrigerante total para el cantón (kg totales)</t>
  </si>
  <si>
    <t>Emisión Durante servicio (%)</t>
  </si>
  <si>
    <t>Emisión de eliminación (%)</t>
  </si>
  <si>
    <t>Montaje (%)</t>
  </si>
  <si>
    <t>R22</t>
  </si>
  <si>
    <t>R410a</t>
  </si>
  <si>
    <t>Refrigerantes en Belén</t>
  </si>
  <si>
    <t>Cantidad de comercios</t>
  </si>
  <si>
    <t>Cantidad promedio de equipos estimados (AC/comercios)</t>
  </si>
  <si>
    <t>comercios</t>
  </si>
  <si>
    <t>Cantidad de equipos estimados para el sector comercial (unidades totales)</t>
  </si>
  <si>
    <t>R134a</t>
  </si>
  <si>
    <t>R51</t>
  </si>
  <si>
    <t>Freon</t>
  </si>
  <si>
    <t xml:space="preserve">Recarga de refrigerantes en equipos de A/C en comercios </t>
  </si>
  <si>
    <t>Total de refrigerante recargado (kg)</t>
  </si>
  <si>
    <t>Cantidad de industrias</t>
  </si>
  <si>
    <t>Cantidad promedio de equipos estimados (AC/industria)</t>
  </si>
  <si>
    <t>industrias</t>
  </si>
  <si>
    <t>Cantidad de equipos estimados para el sector industrial (unidades totales)</t>
  </si>
  <si>
    <t>R123</t>
  </si>
  <si>
    <t>R404a</t>
  </si>
  <si>
    <t>R407</t>
  </si>
  <si>
    <t xml:space="preserve">Recarga de refrigerantes en equipos de A/C en industrias </t>
  </si>
  <si>
    <t>Refrigerantes en Belén ELIMINADOS</t>
  </si>
  <si>
    <t>Eliminación de aires acondicionados</t>
  </si>
  <si>
    <t>4.2. Alcance 1: Datos recopilados sobre uso de refrigerantes diferentes a equipos A/C</t>
  </si>
  <si>
    <t>Cantidad de emisiones por refrigeración doméstica (refrigeradoras)</t>
  </si>
  <si>
    <t>Uso de refrigeradores domésticos</t>
  </si>
  <si>
    <t>Los datos se estiman tomando en cuenta lo reportado en el inventario de GEI de Refrigeración y AC para CR (2012-2016) para refrigeraciòn doméstica, Tabla 5 y 23. Se asume que TODOS los hogares tienen al menos 1 refrigerador</t>
  </si>
  <si>
    <t>R134A</t>
  </si>
  <si>
    <t>R600A</t>
  </si>
  <si>
    <t>Camiones refrigerados en Belén</t>
  </si>
  <si>
    <t>Cantidad promedio de equipos estimados (camiones/comercio)</t>
  </si>
  <si>
    <t>Uso de camiones refrigerados</t>
  </si>
  <si>
    <t>Los datos se estiman tomando en cuenta las características reportadas para camiones y trailers refrigerados, según el inventario de GEI de Refrigeración y AC para CR (2012-2016)</t>
  </si>
  <si>
    <t>R134</t>
  </si>
  <si>
    <t>Recarga de refrigerantes en camiones refrigerados</t>
  </si>
  <si>
    <t>No se recarga refrigerantes en camiones en el 2021 según lo identificado en encuesta</t>
  </si>
  <si>
    <t>Equipos refrigerados en Belén</t>
  </si>
  <si>
    <t>Cantidad promedio de equipos estimados (equipos/comercio)</t>
  </si>
  <si>
    <t>Uso de equipos refrigerados (chillers, refrigeradores, enfriadores, congeladores)</t>
  </si>
  <si>
    <t>Datos obtenidos de encuestas a comercios e instituciones. Dado que los datos obtenidos hablan de refrigeradores, enfriadores y congeladores, se toma como referencia los datos de los equipos autónomos tipo Stand-Alone, según definición del inventario GEI para CR, Tabla 16, pág 69, de refrigeración comercial.</t>
  </si>
  <si>
    <t>R12 (Freón)</t>
  </si>
  <si>
    <t>Recarga de refrigerantes en equipos refrigerados</t>
  </si>
  <si>
    <t>No se recarga equipos refrigerados en el 2021 según lo identificado en encuesta</t>
  </si>
  <si>
    <t>Cantidad promedio de equipos estimados (camiones/industria)</t>
  </si>
  <si>
    <t xml:space="preserve">Recarga de refrigerantes en camiones refrigerados en industrias </t>
  </si>
  <si>
    <t>Cantidad promedio de equipos estimados (equipos/industria)</t>
  </si>
  <si>
    <t>Datos obtenidos de encuestas a industrias. Dado que los datos obtenidos hablan de refrigeradores, enfriadores y congeladores, se toma como referencia los datos de los equipos autónomos tipo Stand-Alone, según definición del inventario GEI para CR, Tabla 16, pág 69, de refrigeración comercial.</t>
  </si>
  <si>
    <t>R23</t>
  </si>
  <si>
    <t>R410</t>
  </si>
  <si>
    <t>Cantidad promedio de equipos estimados (equipos/finca)</t>
  </si>
  <si>
    <t>Datos obtenidos de encuestas agropecuarias. Dado que los datos obtenidos hablan de refrigeradores, se toma como referencia los datos de refrigeración doméstica, según definición del inventario GEI para CR, Tabla 16, pág 69, de refrigeración.</t>
  </si>
  <si>
    <t>R600</t>
  </si>
  <si>
    <t>4.2. Alcance 1: Datos recopilados sobre uso de productos (Lubricantes, ceras, parafinas)</t>
  </si>
  <si>
    <t>Lubricantes para mantenimiento de vehículos</t>
  </si>
  <si>
    <t>Consumo total de Lubricantes en el cantón (l/año)</t>
  </si>
  <si>
    <t>Uso de lubricantes en comercios</t>
  </si>
  <si>
    <t>Uso de lubricantes en industrias</t>
  </si>
  <si>
    <t>Uso de CO2 en aplicaciones industriales</t>
  </si>
  <si>
    <t>Consumo total de CO2 en el cantón (kg/año)</t>
  </si>
  <si>
    <t>Uso de SF6 en aplicaciones industriales</t>
  </si>
  <si>
    <t>Consumo total de SF6 en el cantón (kg/año)</t>
  </si>
  <si>
    <t>4.3. Alcance 1: Datos recopilados sobre emisiones por procesos industriales</t>
  </si>
  <si>
    <t>Datos brindados por una de las principales industrias alimenticias en el cantón</t>
  </si>
  <si>
    <t>Emisiones por proceso de fermenación</t>
  </si>
  <si>
    <t>Fermentación (tCO2e)</t>
  </si>
  <si>
    <t>4.5. Anexos de AFOLU</t>
  </si>
  <si>
    <t>4.1. Alcance 1: Datos recopilados sobre cultivos en Belén</t>
  </si>
  <si>
    <t>Datos brindados por encuestas agropecuarias</t>
  </si>
  <si>
    <t>Ha dedicadas a cultivo</t>
  </si>
  <si>
    <t>Cultivo</t>
  </si>
  <si>
    <t>Hectáreas</t>
  </si>
  <si>
    <t>Banano</t>
  </si>
  <si>
    <t>Café sin sombra</t>
  </si>
  <si>
    <t>Cálculo de Factores de emisión según información de modelos de costos de producción</t>
  </si>
  <si>
    <t>Factor de emisión para el Apio</t>
  </si>
  <si>
    <t>Factor de emisión para el Ayote</t>
  </si>
  <si>
    <t>Fertilizante aplicado</t>
  </si>
  <si>
    <t>N-P-K  N2 (10%)   P2O5 (30%)   K2O (10%)</t>
  </si>
  <si>
    <t>N-P-K  N2 (12%)   P2O5 (24%)   K2O (12%)</t>
  </si>
  <si>
    <t>kg/ha/año</t>
  </si>
  <si>
    <t>kg N /ha/año</t>
  </si>
  <si>
    <t>N-P-K  N2 (15%)   P2O5 (15%)   K2O (15%)</t>
  </si>
  <si>
    <t>N-P-K  N2 (15%)   P2O5 (8%)   K2O (6%)</t>
  </si>
  <si>
    <t>L/ha/año</t>
  </si>
  <si>
    <t>N-P-K  N2 (11%)   P2O5 (8%)   K2O (6%)</t>
  </si>
  <si>
    <t>N-P-K-Mg-B-S  N2 (10%)  P2O5 (0%)  K2O (22%) MgO (18%)  S (22%)</t>
  </si>
  <si>
    <t>Sulfato de Amonio (NH4)2SO4  N2  (21 %)</t>
  </si>
  <si>
    <t>N-P-K  N2 (15%)   P2O5 (3%)   K2O (31%)</t>
  </si>
  <si>
    <t>N-P-K-Mg-B-S  N2 (17%)  P2O5 (6%)  K2O (18%) MgO (5%) B (2%)</t>
  </si>
  <si>
    <t>Según el IPCC, tabla 11.1, un 1 % de N2O es liberado por cada kg de nitrógeno en el fertilizante (kg N2O/ kg N), con esto:</t>
  </si>
  <si>
    <t>N-P-K  N2 (20%)   P2O5 (20%)   K2O (20%)</t>
  </si>
  <si>
    <t>kg N2O/kg N</t>
  </si>
  <si>
    <t>kg N2O/ha/año</t>
  </si>
  <si>
    <t>Factor Emisión</t>
  </si>
  <si>
    <t>Factor de emisión para el Camote</t>
  </si>
  <si>
    <t>N-P-K  N2 (10%)   P2O5 (30%)   K2O (11%)</t>
  </si>
  <si>
    <t>Factor de emisión para el Chile</t>
  </si>
  <si>
    <t>Factor de emisión para el Frijol</t>
  </si>
  <si>
    <t>Factor de emisión para la Guanábana</t>
  </si>
  <si>
    <t>Magnesamon  N2  (27%)</t>
  </si>
  <si>
    <t>Factor de emisión para la Lechuga</t>
  </si>
  <si>
    <t>Factor de emisión para el Maíz</t>
  </si>
  <si>
    <t>Factor de emisión para el Tomate</t>
  </si>
  <si>
    <t>Factor de emisión para la Piña</t>
  </si>
  <si>
    <t>Urea N2 (46 %)</t>
  </si>
  <si>
    <t>N-P-K-Mg-B-S  N2 (18%)  P2O5 (5%)  K2O (15%) MgO (6%) B (0.2%) S (7.3%)</t>
  </si>
  <si>
    <t>Factor de emisión para el Zuquini</t>
  </si>
  <si>
    <t>Nitrato de amonio  NH4NO3  N2 (33.5%)</t>
  </si>
  <si>
    <t>N-P-K  N2 (12%)  P2O5 (24%)  K2O (11%)</t>
  </si>
  <si>
    <t>kg/ha año</t>
  </si>
  <si>
    <t>kg N/ha año</t>
  </si>
  <si>
    <t>Nitrato de magnesio Mg(NO3)2  N2 (10.7 %)</t>
  </si>
  <si>
    <t>Factor de emisión para Limón</t>
  </si>
  <si>
    <t>Factor de emisión para Naranja</t>
  </si>
  <si>
    <t>Factor de emisión para Papaya</t>
  </si>
  <si>
    <t>Factor de emisión para Yuca</t>
  </si>
  <si>
    <t>4.2. Alcance 1: Datos recopilados sobre aplicación de urea y cal</t>
  </si>
  <si>
    <t>Datos brindados por encuestas agropecuarias y modelos de costos de producción del MAG</t>
  </si>
  <si>
    <t>Enmienda  para el Apio</t>
  </si>
  <si>
    <t>Enmienda  para el Camote</t>
  </si>
  <si>
    <t>Cal-carbonato de calcio (CaCO3)</t>
  </si>
  <si>
    <t>ton/ha/año</t>
  </si>
  <si>
    <t>CAL para Chile</t>
  </si>
  <si>
    <t>Enmienda para la Guanábana</t>
  </si>
  <si>
    <t>Enmienda  para la Lechuga</t>
  </si>
  <si>
    <t>Enmienda para la Piña</t>
  </si>
  <si>
    <t>Emisiones de CO2 por Urea</t>
  </si>
  <si>
    <t>Enmienda para el Tomate</t>
  </si>
  <si>
    <t>4.3. Alcance 1: Datos recopilados sobre ganado en Belén</t>
  </si>
  <si>
    <t>Datos brindados por SENASA y encuestas agropecuarias</t>
  </si>
  <si>
    <t>Total de ganado bovino (según SENASA)</t>
  </si>
  <si>
    <t>Distribución de ganado basado en datos de SENASA</t>
  </si>
  <si>
    <t>Tipo de ganado</t>
  </si>
  <si>
    <t>Cantidad Total</t>
  </si>
  <si>
    <t>Doble propósito Hembras</t>
  </si>
  <si>
    <t>Carne Hembras</t>
  </si>
  <si>
    <t>Carne Machos</t>
  </si>
  <si>
    <t>Total de ganado equino (según SENASA)</t>
  </si>
  <si>
    <t>Total de aves de corral (según SENASA)</t>
  </si>
  <si>
    <t>4.5. Alcance 1: Datos recopilados sobre quemas de pastos y charrales</t>
  </si>
  <si>
    <t>Datos brindados por Bomberos para quemas pastos y charrales</t>
  </si>
  <si>
    <t>Áreas de bomberos</t>
  </si>
  <si>
    <t>(PASTOS Y CHARRALES)</t>
  </si>
  <si>
    <t>Caso</t>
  </si>
  <si>
    <t>Área (m2)</t>
  </si>
  <si>
    <t>Área (ha)</t>
  </si>
  <si>
    <t>Consumo de combustible (Mb*Cf) (ton/ha)</t>
  </si>
  <si>
    <t>Factor de emisiòn (kg GEI/kg)</t>
  </si>
  <si>
    <t>CO2 (b)</t>
  </si>
  <si>
    <t xml:space="preserve">ton totales </t>
  </si>
  <si>
    <t>kg totales de materia quemada</t>
  </si>
  <si>
    <t>4.4. Alcance 1: Datos recopilados sobre cambio de uso de suelo (2005-2020)</t>
  </si>
  <si>
    <t>Cuadro 1:  Reservorio de carbono - regimen permanente y en transicion del Cantón Belén 2005-2020</t>
  </si>
  <si>
    <t>Reservorio de carbono</t>
  </si>
  <si>
    <t>Unidades de toneladas de C</t>
  </si>
  <si>
    <t>tCO2e/tC=</t>
  </si>
  <si>
    <t>Forestal primario (natural)</t>
  </si>
  <si>
    <t>Forestal secundario (natural)</t>
  </si>
  <si>
    <t>Forestal (plantación)</t>
  </si>
  <si>
    <t>Pastizales</t>
  </si>
  <si>
    <t>Otras tierras</t>
  </si>
  <si>
    <t>Asentamientos</t>
  </si>
  <si>
    <t>Cultivos</t>
  </si>
  <si>
    <t>Humedales</t>
  </si>
  <si>
    <t>Total ton C</t>
  </si>
  <si>
    <t>Total ton CO2e/año</t>
  </si>
  <si>
    <t>Suelos en régimen permanente</t>
  </si>
  <si>
    <t>Biomasa aérea y subterranea</t>
  </si>
  <si>
    <t>Suelos en régimen de transición</t>
  </si>
  <si>
    <t>Matearia organica muerta</t>
  </si>
  <si>
    <t>Carbono orgánico en suelos minerales</t>
  </si>
  <si>
    <t>Carbono orgánico en suelos orgánicos (ton C)</t>
  </si>
  <si>
    <t>Sub-Total por regimen transicional</t>
  </si>
  <si>
    <t>Total de carbono emitido por cambio de uso del suelo 2005-2020 (ton C)</t>
  </si>
  <si>
    <t>Total de C removido por cambio de uso del suelo 2005-2020 (ton 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</si>
</sst>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164" formatCode="_-* #,##0.00_-;\-* #,##0.00_-;_-* &quot;-&quot;??_-;_-@_-"/>
    <numFmt numFmtId="165" formatCode="0.0000"/>
    <numFmt numFmtId="166" formatCode="??0.0?????"/>
    <numFmt numFmtId="167" formatCode="??0"/>
    <numFmt numFmtId="168" formatCode="#,##0.000"/>
    <numFmt numFmtId="169" formatCode="#,##0.0000"/>
    <numFmt numFmtId="170" formatCode="0.0"/>
    <numFmt numFmtId="171" formatCode="0.000"/>
    <numFmt numFmtId="172" formatCode="#,##0.0"/>
    <numFmt numFmtId="173" formatCode="0.0E+00"/>
    <numFmt numFmtId="174" formatCode="#,##0.00000"/>
    <numFmt numFmtId="175" formatCode="0.00000"/>
    <numFmt numFmtId="176" formatCode="0.0%"/>
    <numFmt numFmtId="177" formatCode="0.0000%"/>
    <numFmt numFmtId="178" formatCode="??0.00"/>
    <numFmt numFmtId="179" formatCode="0E+00"/>
  </numFmts>
  <fonts count="34">
    <font>
      <sz val="11"/>
      <color theme="1"/>
      <name val="Calibri"/>
      <family val="2"/>
      <scheme val="minor"/>
    </font>
    <font>
      <sz val="12"/>
      <color theme="1"/>
      <name val="Calibri"/>
      <family val="2"/>
      <scheme val="minor"/>
    </font>
    <font>
      <b/>
      <sz val="12"/>
      <color theme="1"/>
      <name val="Calibri"/>
      <family val="2"/>
      <scheme val="minor"/>
    </font>
    <font>
      <b/>
      <sz val="14"/>
      <color theme="1"/>
      <name val="Calibri"/>
      <family val="2"/>
      <scheme val="minor"/>
    </font>
    <font>
      <sz val="14"/>
      <color theme="1"/>
      <name val="Calibri"/>
      <family val="2"/>
      <scheme val="minor"/>
    </font>
    <font>
      <sz val="14"/>
      <color theme="4"/>
      <name val="Calibri"/>
      <family val="2"/>
      <scheme val="minor"/>
    </font>
    <font>
      <sz val="9"/>
      <color indexed="81"/>
      <name val="Tahoma"/>
      <family val="2"/>
    </font>
    <font>
      <u/>
      <sz val="11"/>
      <color theme="10"/>
      <name val="Calibri"/>
      <family val="2"/>
      <scheme val="minor"/>
    </font>
    <font>
      <i/>
      <sz val="12"/>
      <color theme="1"/>
      <name val="Calibri"/>
      <family val="2"/>
      <scheme val="minor"/>
    </font>
    <font>
      <u/>
      <sz val="12"/>
      <color theme="10"/>
      <name val="Calibri"/>
      <family val="2"/>
      <scheme val="minor"/>
    </font>
    <font>
      <sz val="11"/>
      <color theme="1"/>
      <name val="Calibri"/>
      <family val="2"/>
      <scheme val="minor"/>
    </font>
    <font>
      <b/>
      <sz val="9"/>
      <color indexed="81"/>
      <name val="Tahoma"/>
      <family val="2"/>
    </font>
    <font>
      <b/>
      <sz val="12"/>
      <name val="Calibri"/>
      <family val="2"/>
      <scheme val="minor"/>
    </font>
    <font>
      <sz val="12"/>
      <name val="Calibri"/>
      <family val="2"/>
      <scheme val="minor"/>
    </font>
    <font>
      <b/>
      <sz val="12"/>
      <name val="Arial"/>
      <family val="2"/>
    </font>
    <font>
      <sz val="12"/>
      <color indexed="8"/>
      <name val="Arial"/>
      <family val="2"/>
    </font>
    <font>
      <sz val="12"/>
      <color rgb="FF000000"/>
      <name val="Calibri"/>
      <family val="2"/>
      <scheme val="minor"/>
    </font>
    <font>
      <vertAlign val="subscript"/>
      <sz val="12"/>
      <color indexed="8"/>
      <name val="Calibri"/>
      <family val="2"/>
      <scheme val="minor"/>
    </font>
    <font>
      <sz val="12"/>
      <color indexed="8"/>
      <name val="Calibri"/>
      <family val="2"/>
      <scheme val="minor"/>
    </font>
    <font>
      <vertAlign val="subscript"/>
      <sz val="12"/>
      <name val="Calibri"/>
      <family val="2"/>
      <scheme val="minor"/>
    </font>
    <font>
      <u/>
      <sz val="14"/>
      <name val="Calibri"/>
      <family val="2"/>
      <scheme val="minor"/>
    </font>
    <font>
      <sz val="14"/>
      <name val="Calibri"/>
      <family val="2"/>
      <scheme val="minor"/>
    </font>
    <font>
      <sz val="8"/>
      <name val="Calibri"/>
      <family val="2"/>
      <scheme val="minor"/>
    </font>
    <font>
      <sz val="12"/>
      <color theme="1"/>
      <name val="Calibri"/>
      <family val="2"/>
    </font>
    <font>
      <sz val="11"/>
      <name val="Arial"/>
      <family val="2"/>
    </font>
    <font>
      <sz val="12"/>
      <name val="Calibri"/>
      <family val="2"/>
    </font>
    <font>
      <sz val="11"/>
      <name val="Calibri"/>
      <family val="2"/>
      <scheme val="minor"/>
    </font>
    <font>
      <b/>
      <sz val="12"/>
      <color theme="0"/>
      <name val="Calibri"/>
      <family val="2"/>
      <scheme val="minor"/>
    </font>
    <font>
      <sz val="10"/>
      <color theme="1"/>
      <name val="Calibri"/>
      <family val="2"/>
      <scheme val="minor"/>
    </font>
    <font>
      <sz val="12"/>
      <color rgb="FF000000"/>
      <name val="Calibri"/>
      <family val="2"/>
    </font>
    <font>
      <sz val="11"/>
      <color rgb="FF000000"/>
      <name val="Calibri"/>
      <family val="2"/>
    </font>
    <font>
      <sz val="9"/>
      <color rgb="FF000000"/>
      <name val="Calibri"/>
      <family val="2"/>
    </font>
    <font>
      <b/>
      <sz val="11"/>
      <color theme="1"/>
      <name val="Calibri"/>
      <family val="2"/>
      <scheme val="minor"/>
    </font>
    <font>
      <b/>
      <sz val="10"/>
      <color theme="1"/>
      <name val="Calibri"/>
      <family val="2"/>
      <scheme val="minor"/>
    </font>
  </fonts>
  <fills count="33">
    <fill>
      <patternFill patternType="none"/>
    </fill>
    <fill>
      <patternFill patternType="gray125"/>
    </fill>
    <fill>
      <patternFill patternType="solid">
        <fgColor theme="4" tint="0.39997558519241921"/>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2" tint="-0.249977111117893"/>
        <bgColor indexed="64"/>
      </patternFill>
    </fill>
    <fill>
      <patternFill patternType="solid">
        <fgColor theme="0"/>
        <bgColor indexed="64"/>
      </patternFill>
    </fill>
    <fill>
      <patternFill patternType="solid">
        <fgColor rgb="FFFFFF99"/>
        <bgColor indexed="64"/>
      </patternFill>
    </fill>
    <fill>
      <patternFill patternType="solid">
        <fgColor theme="3" tint="0.79998168889431442"/>
        <bgColor indexed="64"/>
      </patternFill>
    </fill>
    <fill>
      <patternFill patternType="solid">
        <fgColor theme="0" tint="-0.14999847407452621"/>
        <bgColor indexed="64"/>
      </patternFill>
    </fill>
    <fill>
      <patternFill patternType="solid">
        <fgColor indexed="43"/>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2" tint="-9.9978637043366805E-2"/>
        <bgColor indexed="64"/>
      </patternFill>
    </fill>
    <fill>
      <patternFill patternType="solid">
        <fgColor rgb="FFFFCC66"/>
        <bgColor indexed="64"/>
      </patternFill>
    </fill>
    <fill>
      <patternFill patternType="solid">
        <fgColor theme="9"/>
        <bgColor indexed="64"/>
      </patternFill>
    </fill>
    <fill>
      <patternFill patternType="solid">
        <fgColor rgb="FF8EAADB"/>
        <bgColor rgb="FF8EAADB"/>
      </patternFill>
    </fill>
    <fill>
      <patternFill patternType="solid">
        <fgColor theme="7" tint="0.79998168889431442"/>
        <bgColor indexed="64"/>
      </patternFill>
    </fill>
    <fill>
      <patternFill patternType="solid">
        <fgColor theme="7"/>
        <bgColor indexed="64"/>
      </patternFill>
    </fill>
    <fill>
      <patternFill patternType="solid">
        <fgColor rgb="FFFFFFFF"/>
        <bgColor rgb="FFFFFFFF"/>
      </patternFill>
    </fill>
    <fill>
      <patternFill patternType="solid">
        <fgColor rgb="FFFFCC66"/>
        <bgColor rgb="FFFFCC66"/>
      </patternFill>
    </fill>
    <fill>
      <patternFill patternType="solid">
        <fgColor rgb="FFB4C6E7"/>
        <bgColor rgb="FFB4C6E7"/>
      </patternFill>
    </fill>
    <fill>
      <patternFill patternType="solid">
        <fgColor rgb="FFFFD757"/>
        <bgColor indexed="64"/>
      </patternFill>
    </fill>
    <fill>
      <patternFill patternType="solid">
        <fgColor rgb="FFFFFFCC"/>
      </patternFill>
    </fill>
    <fill>
      <patternFill patternType="solid">
        <fgColor theme="8" tint="0.79998168889431442"/>
        <bgColor rgb="FF8EAADB"/>
      </patternFill>
    </fill>
    <fill>
      <patternFill patternType="solid">
        <fgColor rgb="FFDEEAF6"/>
        <bgColor indexed="64"/>
      </patternFill>
    </fill>
    <fill>
      <patternFill patternType="solid">
        <fgColor theme="4" tint="0.79998168889431442"/>
        <bgColor rgb="FF8EAADB"/>
      </patternFill>
    </fill>
    <fill>
      <patternFill patternType="solid">
        <fgColor theme="8" tint="0.39997558519241921"/>
        <bgColor rgb="FFB4C6E7"/>
      </patternFill>
    </fill>
    <fill>
      <patternFill patternType="solid">
        <fgColor theme="8" tint="0.79998168889431442"/>
        <bgColor rgb="FFB4C6E7"/>
      </patternFill>
    </fill>
    <fill>
      <patternFill patternType="solid">
        <fgColor theme="8" tint="0.59999389629810485"/>
        <bgColor rgb="FFB4C6E7"/>
      </patternFill>
    </fill>
    <fill>
      <patternFill patternType="solid">
        <fgColor theme="2" tint="-9.9978637043366805E-2"/>
        <bgColor rgb="FFB4C6E7"/>
      </patternFill>
    </fill>
    <fill>
      <patternFill patternType="solid">
        <fgColor theme="2"/>
        <bgColor indexed="64"/>
      </patternFill>
    </fill>
  </fills>
  <borders count="32">
    <border>
      <left/>
      <right/>
      <top/>
      <bottom/>
      <diagonal/>
    </border>
    <border>
      <left style="medium">
        <color theme="4"/>
      </left>
      <right style="medium">
        <color theme="4"/>
      </right>
      <top style="medium">
        <color theme="4"/>
      </top>
      <bottom style="medium">
        <color theme="4"/>
      </bottom>
      <diagonal/>
    </border>
    <border>
      <left style="medium">
        <color theme="4"/>
      </left>
      <right/>
      <top style="medium">
        <color theme="4"/>
      </top>
      <bottom/>
      <diagonal/>
    </border>
    <border>
      <left/>
      <right/>
      <top style="medium">
        <color theme="4"/>
      </top>
      <bottom/>
      <diagonal/>
    </border>
    <border>
      <left/>
      <right style="medium">
        <color theme="4"/>
      </right>
      <top style="medium">
        <color theme="4"/>
      </top>
      <bottom/>
      <diagonal/>
    </border>
    <border>
      <left style="medium">
        <color theme="4"/>
      </left>
      <right/>
      <top/>
      <bottom/>
      <diagonal/>
    </border>
    <border>
      <left/>
      <right style="medium">
        <color theme="4"/>
      </right>
      <top/>
      <bottom/>
      <diagonal/>
    </border>
    <border>
      <left style="medium">
        <color theme="4"/>
      </left>
      <right/>
      <top/>
      <bottom style="medium">
        <color theme="4"/>
      </bottom>
      <diagonal/>
    </border>
    <border>
      <left/>
      <right/>
      <top/>
      <bottom style="medium">
        <color theme="4"/>
      </bottom>
      <diagonal/>
    </border>
    <border>
      <left/>
      <right style="medium">
        <color theme="4"/>
      </right>
      <top/>
      <bottom style="medium">
        <color theme="4"/>
      </bottom>
      <diagonal/>
    </border>
    <border>
      <left style="medium">
        <color theme="4"/>
      </left>
      <right style="medium">
        <color theme="4"/>
      </right>
      <top style="medium">
        <color theme="4"/>
      </top>
      <bottom/>
      <diagonal/>
    </border>
    <border>
      <left style="medium">
        <color theme="4"/>
      </left>
      <right style="medium">
        <color theme="4"/>
      </right>
      <top/>
      <bottom/>
      <diagonal/>
    </border>
    <border>
      <left style="medium">
        <color theme="4"/>
      </left>
      <right style="medium">
        <color theme="4"/>
      </right>
      <top/>
      <bottom style="medium">
        <color theme="4"/>
      </bottom>
      <diagonal/>
    </border>
    <border>
      <left/>
      <right style="medium">
        <color theme="4"/>
      </right>
      <top style="medium">
        <color theme="4"/>
      </top>
      <bottom style="medium">
        <color theme="4"/>
      </bottom>
      <diagonal/>
    </border>
    <border>
      <left style="medium">
        <color theme="4"/>
      </left>
      <right/>
      <top style="medium">
        <color theme="4"/>
      </top>
      <bottom style="medium">
        <color theme="4"/>
      </bottom>
      <diagonal/>
    </border>
    <border>
      <left/>
      <right/>
      <top style="medium">
        <color theme="4"/>
      </top>
      <bottom style="medium">
        <color theme="4"/>
      </bottom>
      <diagonal/>
    </border>
    <border>
      <left style="medium">
        <color theme="8"/>
      </left>
      <right/>
      <top style="medium">
        <color theme="4"/>
      </top>
      <bottom style="medium">
        <color theme="8"/>
      </bottom>
      <diagonal/>
    </border>
    <border>
      <left/>
      <right style="medium">
        <color theme="8"/>
      </right>
      <top style="medium">
        <color theme="4"/>
      </top>
      <bottom style="medium">
        <color theme="8"/>
      </bottom>
      <diagonal/>
    </border>
    <border>
      <left style="medium">
        <color theme="8"/>
      </left>
      <right style="medium">
        <color theme="8"/>
      </right>
      <top style="medium">
        <color theme="8"/>
      </top>
      <bottom style="medium">
        <color theme="8"/>
      </bottom>
      <diagonal/>
    </border>
    <border>
      <left style="medium">
        <color theme="8"/>
      </left>
      <right/>
      <top style="medium">
        <color theme="8"/>
      </top>
      <bottom style="medium">
        <color theme="8"/>
      </bottom>
      <diagonal/>
    </border>
    <border>
      <left/>
      <right style="medium">
        <color theme="8"/>
      </right>
      <top style="medium">
        <color theme="8"/>
      </top>
      <bottom style="medium">
        <color theme="8"/>
      </bottom>
      <diagonal/>
    </border>
    <border>
      <left style="medium">
        <color theme="8"/>
      </left>
      <right/>
      <top style="medium">
        <color theme="8"/>
      </top>
      <bottom/>
      <diagonal/>
    </border>
    <border>
      <left/>
      <right/>
      <top style="medium">
        <color theme="8"/>
      </top>
      <bottom/>
      <diagonal/>
    </border>
    <border>
      <left/>
      <right style="medium">
        <color theme="8"/>
      </right>
      <top style="medium">
        <color theme="8"/>
      </top>
      <bottom/>
      <diagonal/>
    </border>
    <border>
      <left style="medium">
        <color theme="8"/>
      </left>
      <right/>
      <top/>
      <bottom style="medium">
        <color theme="8"/>
      </bottom>
      <diagonal/>
    </border>
    <border>
      <left/>
      <right/>
      <top/>
      <bottom style="medium">
        <color theme="8"/>
      </bottom>
      <diagonal/>
    </border>
    <border>
      <left/>
      <right style="medium">
        <color theme="8"/>
      </right>
      <top/>
      <bottom style="medium">
        <color theme="8"/>
      </bottom>
      <diagonal/>
    </border>
    <border>
      <left style="medium">
        <color theme="8"/>
      </left>
      <right style="medium">
        <color theme="8"/>
      </right>
      <top style="medium">
        <color theme="8"/>
      </top>
      <bottom/>
      <diagonal/>
    </border>
    <border>
      <left style="medium">
        <color theme="8"/>
      </left>
      <right style="medium">
        <color theme="8"/>
      </right>
      <top/>
      <bottom style="medium">
        <color theme="8"/>
      </bottom>
      <diagonal/>
    </border>
    <border>
      <left/>
      <right/>
      <top style="medium">
        <color theme="8"/>
      </top>
      <bottom style="medium">
        <color theme="8"/>
      </bottom>
      <diagonal/>
    </border>
    <border>
      <left style="thin">
        <color rgb="FFB2B2B2"/>
      </left>
      <right style="thin">
        <color rgb="FFB2B2B2"/>
      </right>
      <top style="thin">
        <color rgb="FFB2B2B2"/>
      </top>
      <bottom style="thin">
        <color rgb="FFB2B2B2"/>
      </bottom>
      <diagonal/>
    </border>
    <border>
      <left style="thin">
        <color rgb="FFB2B2B2"/>
      </left>
      <right/>
      <top/>
      <bottom/>
      <diagonal/>
    </border>
  </borders>
  <cellStyleXfs count="6">
    <xf numFmtId="0" fontId="0" fillId="0" borderId="0"/>
    <xf numFmtId="0" fontId="7" fillId="0" borderId="0" applyNumberFormat="0" applyFill="0" applyBorder="0" applyAlignment="0" applyProtection="0"/>
    <xf numFmtId="164" fontId="10" fillId="0" borderId="0" applyFont="0" applyFill="0" applyBorder="0" applyAlignment="0" applyProtection="0"/>
    <xf numFmtId="9" fontId="10" fillId="0" borderId="0" applyFont="0" applyFill="0" applyBorder="0" applyAlignment="0" applyProtection="0"/>
    <xf numFmtId="0" fontId="10" fillId="24" borderId="30" applyNumberFormat="0" applyFont="0" applyAlignment="0" applyProtection="0"/>
    <xf numFmtId="0" fontId="10" fillId="0" borderId="0"/>
  </cellStyleXfs>
  <cellXfs count="457">
    <xf numFmtId="0" fontId="0" fillId="0" borderId="0" xfId="0"/>
    <xf numFmtId="0" fontId="1" fillId="0" borderId="0" xfId="0" applyFont="1"/>
    <xf numFmtId="0" fontId="1" fillId="0" borderId="0" xfId="0" applyFont="1" applyAlignment="1">
      <alignment horizontal="center"/>
    </xf>
    <xf numFmtId="0" fontId="1" fillId="0" borderId="0" xfId="0" applyFont="1" applyAlignment="1">
      <alignment horizontal="right"/>
    </xf>
    <xf numFmtId="0" fontId="4" fillId="0" borderId="0" xfId="0" applyFont="1"/>
    <xf numFmtId="0" fontId="1" fillId="0" borderId="1" xfId="0" applyFont="1" applyBorder="1" applyAlignment="1">
      <alignment horizontal="center" vertical="center"/>
    </xf>
    <xf numFmtId="0" fontId="1" fillId="0" borderId="8" xfId="0" applyFont="1" applyBorder="1" applyAlignment="1">
      <alignment horizontal="center" vertical="center"/>
    </xf>
    <xf numFmtId="0" fontId="1" fillId="0" borderId="1" xfId="0" applyFont="1" applyBorder="1"/>
    <xf numFmtId="0" fontId="2" fillId="2" borderId="1" xfId="0" applyFont="1" applyFill="1" applyBorder="1" applyAlignment="1">
      <alignment horizontal="center"/>
    </xf>
    <xf numFmtId="0" fontId="1" fillId="0" borderId="8" xfId="0" applyFont="1" applyBorder="1"/>
    <xf numFmtId="0" fontId="5" fillId="0" borderId="8" xfId="0" applyFont="1" applyBorder="1"/>
    <xf numFmtId="0" fontId="1" fillId="0" borderId="1" xfId="0" applyFont="1" applyBorder="1" applyAlignment="1">
      <alignment vertical="center" wrapText="1"/>
    </xf>
    <xf numFmtId="0" fontId="8" fillId="6" borderId="0" xfId="0" applyFont="1" applyFill="1"/>
    <xf numFmtId="0" fontId="1" fillId="6" borderId="1" xfId="0" applyFont="1" applyFill="1" applyBorder="1" applyAlignment="1">
      <alignment horizontal="center" vertical="center"/>
    </xf>
    <xf numFmtId="0" fontId="9" fillId="6" borderId="1" xfId="1" applyFont="1" applyFill="1" applyBorder="1" applyAlignment="1">
      <alignment horizontal="center" vertical="center"/>
    </xf>
    <xf numFmtId="0" fontId="12" fillId="2" borderId="1" xfId="0" applyFont="1" applyFill="1" applyBorder="1" applyAlignment="1">
      <alignment horizontal="center" vertical="center"/>
    </xf>
    <xf numFmtId="0" fontId="12" fillId="2" borderId="1" xfId="0" applyFont="1" applyFill="1" applyBorder="1" applyAlignment="1">
      <alignment horizontal="center"/>
    </xf>
    <xf numFmtId="0" fontId="1" fillId="7" borderId="1" xfId="0" applyFont="1" applyFill="1" applyBorder="1" applyAlignment="1">
      <alignment horizontal="left" vertical="top"/>
    </xf>
    <xf numFmtId="0" fontId="1" fillId="7" borderId="1" xfId="0" applyFont="1" applyFill="1" applyBorder="1" applyAlignment="1">
      <alignment horizontal="center" vertical="center"/>
    </xf>
    <xf numFmtId="0" fontId="13" fillId="7" borderId="1" xfId="0" applyFont="1" applyFill="1" applyBorder="1" applyAlignment="1" applyProtection="1">
      <alignment horizontal="center" vertical="center"/>
      <protection locked="0"/>
    </xf>
    <xf numFmtId="0" fontId="13" fillId="7" borderId="1" xfId="0" applyFont="1" applyFill="1" applyBorder="1" applyAlignment="1">
      <alignment horizontal="center"/>
    </xf>
    <xf numFmtId="0" fontId="13" fillId="7" borderId="1" xfId="0" applyFont="1" applyFill="1" applyBorder="1" applyAlignment="1">
      <alignment horizontal="center" vertical="center"/>
    </xf>
    <xf numFmtId="165" fontId="13" fillId="7" borderId="1" xfId="0" applyNumberFormat="1" applyFont="1" applyFill="1" applyBorder="1" applyAlignment="1" applyProtection="1">
      <alignment horizontal="center" vertical="center"/>
      <protection locked="0"/>
    </xf>
    <xf numFmtId="0" fontId="1" fillId="7" borderId="1" xfId="0" applyFont="1" applyFill="1" applyBorder="1" applyAlignment="1">
      <alignment horizontal="center" vertical="top"/>
    </xf>
    <xf numFmtId="0" fontId="1" fillId="7" borderId="1" xfId="0" applyFont="1" applyFill="1" applyBorder="1" applyAlignment="1">
      <alignment horizontal="left" vertical="top" wrapText="1"/>
    </xf>
    <xf numFmtId="0" fontId="12" fillId="0" borderId="0" xfId="0" applyFont="1" applyAlignment="1">
      <alignment horizontal="left" vertical="center"/>
    </xf>
    <xf numFmtId="0" fontId="1" fillId="7" borderId="13" xfId="0" applyFont="1" applyFill="1" applyBorder="1" applyAlignment="1">
      <alignment horizontal="left" vertical="top" wrapText="1"/>
    </xf>
    <xf numFmtId="0" fontId="1" fillId="7" borderId="13" xfId="0" applyFont="1" applyFill="1" applyBorder="1" applyAlignment="1">
      <alignment horizontal="left" vertical="top"/>
    </xf>
    <xf numFmtId="0" fontId="13" fillId="7" borderId="14" xfId="0" applyFont="1" applyFill="1" applyBorder="1" applyAlignment="1">
      <alignment horizontal="center" vertical="center"/>
    </xf>
    <xf numFmtId="0" fontId="13" fillId="7" borderId="14" xfId="0" applyFont="1" applyFill="1" applyBorder="1" applyAlignment="1" applyProtection="1">
      <alignment horizontal="center" vertical="center"/>
      <protection locked="0"/>
    </xf>
    <xf numFmtId="0" fontId="14" fillId="2" borderId="1" xfId="0" applyFont="1" applyFill="1" applyBorder="1" applyAlignment="1">
      <alignment horizontal="center" vertical="center" wrapText="1"/>
    </xf>
    <xf numFmtId="0" fontId="12" fillId="2" borderId="1" xfId="0" applyFont="1" applyFill="1" applyBorder="1" applyAlignment="1">
      <alignment horizontal="center" vertical="center" wrapText="1"/>
    </xf>
    <xf numFmtId="0" fontId="13" fillId="8" borderId="1" xfId="0" applyFont="1" applyFill="1" applyBorder="1" applyAlignment="1">
      <alignment horizontal="center" vertical="center" wrapText="1"/>
    </xf>
    <xf numFmtId="0" fontId="16" fillId="8" borderId="1" xfId="0" applyFont="1" applyFill="1" applyBorder="1" applyAlignment="1">
      <alignment horizontal="center" vertical="center" wrapText="1"/>
    </xf>
    <xf numFmtId="0" fontId="13" fillId="10" borderId="1" xfId="0" applyFont="1" applyFill="1" applyBorder="1" applyAlignment="1">
      <alignment horizontal="center" vertical="center" wrapText="1"/>
    </xf>
    <xf numFmtId="0" fontId="16" fillId="10" borderId="1" xfId="0" applyFont="1" applyFill="1" applyBorder="1" applyAlignment="1">
      <alignment horizontal="center" vertical="center" wrapText="1"/>
    </xf>
    <xf numFmtId="0" fontId="13" fillId="8" borderId="1" xfId="0" applyFont="1" applyFill="1" applyBorder="1" applyAlignment="1">
      <alignment horizontal="center" vertical="center"/>
    </xf>
    <xf numFmtId="0" fontId="13" fillId="10" borderId="1" xfId="0" applyFont="1" applyFill="1" applyBorder="1" applyAlignment="1">
      <alignment horizontal="center" vertical="center"/>
    </xf>
    <xf numFmtId="167" fontId="13" fillId="10" borderId="1" xfId="0" applyNumberFormat="1" applyFont="1" applyFill="1" applyBorder="1" applyAlignment="1">
      <alignment horizontal="center" vertical="center"/>
    </xf>
    <xf numFmtId="0" fontId="1" fillId="8" borderId="1" xfId="0" applyFont="1" applyFill="1" applyBorder="1" applyAlignment="1">
      <alignment horizontal="center" vertical="center"/>
    </xf>
    <xf numFmtId="167" fontId="13" fillId="8" borderId="1" xfId="0" applyNumberFormat="1" applyFont="1" applyFill="1" applyBorder="1" applyAlignment="1">
      <alignment horizontal="center" vertical="center"/>
    </xf>
    <xf numFmtId="0" fontId="1" fillId="7" borderId="1" xfId="0" applyFont="1" applyFill="1" applyBorder="1" applyAlignment="1">
      <alignment wrapText="1"/>
    </xf>
    <xf numFmtId="0" fontId="15" fillId="7" borderId="1" xfId="0" applyFont="1" applyFill="1" applyBorder="1" applyAlignment="1">
      <alignment horizontal="center" vertical="center" wrapText="1"/>
    </xf>
    <xf numFmtId="16" fontId="1" fillId="7" borderId="1" xfId="0" quotePrefix="1" applyNumberFormat="1" applyFont="1" applyFill="1" applyBorder="1" applyAlignment="1">
      <alignment horizontal="center" vertical="center"/>
    </xf>
    <xf numFmtId="0" fontId="1" fillId="7" borderId="1" xfId="0" quotePrefix="1" applyFont="1" applyFill="1" applyBorder="1" applyAlignment="1">
      <alignment horizontal="center" vertical="center"/>
    </xf>
    <xf numFmtId="16" fontId="15" fillId="7" borderId="1" xfId="0" applyNumberFormat="1" applyFont="1" applyFill="1" applyBorder="1" applyAlignment="1">
      <alignment horizontal="center" vertical="center" wrapText="1"/>
    </xf>
    <xf numFmtId="17" fontId="15" fillId="7" borderId="1" xfId="0" applyNumberFormat="1" applyFont="1" applyFill="1" applyBorder="1" applyAlignment="1">
      <alignment horizontal="center" vertical="center" wrapText="1"/>
    </xf>
    <xf numFmtId="0" fontId="1" fillId="7" borderId="1" xfId="0" applyFont="1" applyFill="1" applyBorder="1" applyAlignment="1">
      <alignment horizontal="center" vertical="center" wrapText="1"/>
    </xf>
    <xf numFmtId="10" fontId="1" fillId="7" borderId="1" xfId="0" applyNumberFormat="1" applyFont="1" applyFill="1" applyBorder="1" applyAlignment="1">
      <alignment horizontal="center" vertical="center"/>
    </xf>
    <xf numFmtId="9" fontId="1" fillId="7" borderId="1" xfId="0" applyNumberFormat="1" applyFont="1" applyFill="1" applyBorder="1" applyAlignment="1">
      <alignment horizontal="center" vertical="center"/>
    </xf>
    <xf numFmtId="0" fontId="2" fillId="2" borderId="0" xfId="0" applyFont="1" applyFill="1" applyAlignment="1">
      <alignment vertical="center"/>
    </xf>
    <xf numFmtId="0" fontId="2" fillId="2" borderId="1" xfId="0" applyFont="1" applyFill="1" applyBorder="1" applyAlignment="1">
      <alignment horizontal="center" vertical="center"/>
    </xf>
    <xf numFmtId="0" fontId="1" fillId="14" borderId="1" xfId="0" applyFont="1" applyFill="1" applyBorder="1" applyAlignment="1">
      <alignment horizontal="center" vertical="center"/>
    </xf>
    <xf numFmtId="0" fontId="1" fillId="14" borderId="1" xfId="0" applyFont="1" applyFill="1" applyBorder="1" applyAlignment="1">
      <alignment horizontal="center" vertical="center" wrapText="1"/>
    </xf>
    <xf numFmtId="0" fontId="2" fillId="2" borderId="1" xfId="0" applyFont="1" applyFill="1" applyBorder="1" applyAlignment="1">
      <alignment horizontal="center" vertical="center" wrapText="1"/>
    </xf>
    <xf numFmtId="0" fontId="1" fillId="0" borderId="0" xfId="0" applyFont="1" applyAlignment="1">
      <alignment horizontal="center" vertical="center"/>
    </xf>
    <xf numFmtId="0" fontId="8" fillId="14" borderId="0" xfId="0" applyFont="1" applyFill="1" applyAlignment="1">
      <alignment horizontal="center" vertical="center"/>
    </xf>
    <xf numFmtId="0" fontId="1" fillId="0" borderId="1" xfId="0" applyFont="1" applyBorder="1" applyAlignment="1">
      <alignment horizontal="center" vertical="center" wrapText="1"/>
    </xf>
    <xf numFmtId="0" fontId="1" fillId="12" borderId="1" xfId="0" applyFont="1" applyFill="1" applyBorder="1" applyAlignment="1">
      <alignment horizontal="center" vertical="center"/>
    </xf>
    <xf numFmtId="0" fontId="1" fillId="15" borderId="1" xfId="0" applyFont="1" applyFill="1" applyBorder="1" applyAlignment="1">
      <alignment horizontal="center" vertical="center"/>
    </xf>
    <xf numFmtId="0" fontId="1" fillId="0" borderId="0" xfId="0" applyFont="1" applyAlignment="1">
      <alignment horizontal="left" vertical="center"/>
    </xf>
    <xf numFmtId="0" fontId="2" fillId="0" borderId="0" xfId="0" applyFont="1" applyAlignment="1">
      <alignment horizontal="center" vertical="center"/>
    </xf>
    <xf numFmtId="0" fontId="5" fillId="0" borderId="8" xfId="0" applyFont="1" applyBorder="1" applyAlignment="1">
      <alignment horizontal="left" vertical="center"/>
    </xf>
    <xf numFmtId="0" fontId="1" fillId="0" borderId="8" xfId="0" applyFont="1" applyBorder="1" applyAlignment="1">
      <alignment horizontal="center" vertical="center" wrapText="1"/>
    </xf>
    <xf numFmtId="0" fontId="1" fillId="0" borderId="0" xfId="0" applyFont="1" applyAlignment="1">
      <alignment horizontal="center" vertical="center" wrapText="1"/>
    </xf>
    <xf numFmtId="0" fontId="2" fillId="0" borderId="1" xfId="0" applyFont="1" applyBorder="1" applyAlignment="1">
      <alignment horizontal="center" vertical="center" wrapText="1"/>
    </xf>
    <xf numFmtId="0" fontId="21" fillId="2" borderId="0" xfId="1" applyFont="1" applyFill="1" applyAlignment="1">
      <alignment horizontal="center" vertical="center"/>
    </xf>
    <xf numFmtId="0" fontId="1" fillId="0" borderId="12" xfId="0" applyFont="1" applyBorder="1" applyAlignment="1">
      <alignment horizontal="left" vertical="center" wrapText="1"/>
    </xf>
    <xf numFmtId="0" fontId="1" fillId="6" borderId="1" xfId="0" applyFont="1" applyFill="1" applyBorder="1" applyAlignment="1">
      <alignment horizontal="center" vertical="center" wrapText="1"/>
    </xf>
    <xf numFmtId="0" fontId="4" fillId="2" borderId="1" xfId="0" applyFont="1" applyFill="1" applyBorder="1" applyAlignment="1">
      <alignment horizontal="center" vertical="center"/>
    </xf>
    <xf numFmtId="2" fontId="4" fillId="2" borderId="1" xfId="0" applyNumberFormat="1" applyFont="1" applyFill="1" applyBorder="1" applyAlignment="1">
      <alignment horizontal="center" vertical="center"/>
    </xf>
    <xf numFmtId="0" fontId="2" fillId="0" borderId="1" xfId="0" applyFont="1" applyBorder="1" applyAlignment="1">
      <alignment horizontal="center"/>
    </xf>
    <xf numFmtId="0" fontId="2" fillId="0" borderId="0" xfId="0" applyFont="1" applyAlignment="1">
      <alignment horizontal="center"/>
    </xf>
    <xf numFmtId="0" fontId="2" fillId="0" borderId="1" xfId="0" applyFont="1" applyBorder="1" applyAlignment="1">
      <alignment horizontal="center" vertical="center"/>
    </xf>
    <xf numFmtId="0" fontId="1" fillId="0" borderId="1" xfId="0" applyFont="1" applyBorder="1" applyAlignment="1">
      <alignment vertical="center"/>
    </xf>
    <xf numFmtId="0" fontId="7" fillId="0" borderId="1" xfId="1" applyBorder="1" applyAlignment="1">
      <alignment horizontal="center" vertical="center"/>
    </xf>
    <xf numFmtId="0" fontId="1" fillId="0" borderId="8" xfId="0" applyFont="1" applyBorder="1" applyAlignment="1">
      <alignment vertical="center"/>
    </xf>
    <xf numFmtId="0" fontId="2" fillId="17" borderId="1" xfId="0" applyFont="1" applyFill="1" applyBorder="1" applyAlignment="1">
      <alignment horizontal="center" vertical="center" wrapText="1"/>
    </xf>
    <xf numFmtId="4" fontId="28" fillId="13" borderId="1" xfId="0" applyNumberFormat="1" applyFont="1" applyFill="1" applyBorder="1" applyAlignment="1">
      <alignment horizontal="center" vertical="center" wrapText="1"/>
    </xf>
    <xf numFmtId="0" fontId="13" fillId="18" borderId="1" xfId="0" applyFont="1" applyFill="1" applyBorder="1" applyAlignment="1" applyProtection="1">
      <alignment horizontal="center" vertical="center"/>
      <protection locked="0"/>
    </xf>
    <xf numFmtId="0" fontId="23" fillId="0" borderId="1" xfId="0" applyFont="1" applyBorder="1" applyAlignment="1">
      <alignment horizontal="center" vertical="center" wrapText="1"/>
    </xf>
    <xf numFmtId="4" fontId="1" fillId="0" borderId="1" xfId="0" applyNumberFormat="1" applyFont="1" applyBorder="1" applyAlignment="1">
      <alignment horizontal="center" vertical="center"/>
    </xf>
    <xf numFmtId="4" fontId="23" fillId="0" borderId="1" xfId="0" applyNumberFormat="1" applyFont="1" applyBorder="1" applyAlignment="1">
      <alignment horizontal="center" vertical="center"/>
    </xf>
    <xf numFmtId="2" fontId="1" fillId="0" borderId="1" xfId="0" applyNumberFormat="1" applyFont="1" applyBorder="1" applyAlignment="1">
      <alignment horizontal="center" vertical="center"/>
    </xf>
    <xf numFmtId="0" fontId="29" fillId="4" borderId="1" xfId="0" applyFont="1" applyFill="1" applyBorder="1" applyAlignment="1">
      <alignment horizontal="center" vertical="center" wrapText="1"/>
    </xf>
    <xf numFmtId="0" fontId="29" fillId="0" borderId="1" xfId="0" applyFont="1" applyBorder="1" applyAlignment="1">
      <alignment horizontal="center" vertical="center" wrapText="1"/>
    </xf>
    <xf numFmtId="0" fontId="2" fillId="0" borderId="18" xfId="0" applyFont="1" applyBorder="1" applyAlignment="1">
      <alignment horizontal="center" vertical="center"/>
    </xf>
    <xf numFmtId="4" fontId="2" fillId="0" borderId="18" xfId="0" applyNumberFormat="1" applyFont="1" applyBorder="1" applyAlignment="1">
      <alignment horizontal="center" vertical="center"/>
    </xf>
    <xf numFmtId="4" fontId="1" fillId="0" borderId="18" xfId="0" applyNumberFormat="1" applyFont="1" applyBorder="1" applyAlignment="1">
      <alignment horizontal="center" vertical="center"/>
    </xf>
    <xf numFmtId="4" fontId="1" fillId="0" borderId="27" xfId="0" applyNumberFormat="1" applyFont="1" applyBorder="1" applyAlignment="1">
      <alignment horizontal="center" vertical="center"/>
    </xf>
    <xf numFmtId="0" fontId="23" fillId="0" borderId="0" xfId="0" applyFont="1"/>
    <xf numFmtId="4" fontId="2" fillId="0" borderId="18" xfId="0" applyNumberFormat="1" applyFont="1" applyBorder="1" applyAlignment="1">
      <alignment horizontal="center" vertical="center" wrapText="1"/>
    </xf>
    <xf numFmtId="4" fontId="1" fillId="0" borderId="0" xfId="0" applyNumberFormat="1" applyFont="1" applyAlignment="1">
      <alignment horizontal="center" vertical="center"/>
    </xf>
    <xf numFmtId="4" fontId="1" fillId="0" borderId="1" xfId="0" applyNumberFormat="1" applyFont="1" applyBorder="1" applyAlignment="1">
      <alignment horizontal="center" vertical="center" wrapText="1"/>
    </xf>
    <xf numFmtId="0" fontId="23" fillId="4" borderId="1" xfId="0" applyFont="1" applyFill="1" applyBorder="1" applyAlignment="1">
      <alignment horizontal="center" vertical="center"/>
    </xf>
    <xf numFmtId="4" fontId="4" fillId="2" borderId="1" xfId="0" applyNumberFormat="1" applyFont="1" applyFill="1" applyBorder="1" applyAlignment="1">
      <alignment horizontal="center" vertical="center"/>
    </xf>
    <xf numFmtId="4" fontId="28" fillId="0" borderId="1" xfId="0" applyNumberFormat="1" applyFont="1" applyBorder="1" applyAlignment="1">
      <alignment horizontal="center" vertical="center" wrapText="1"/>
    </xf>
    <xf numFmtId="4" fontId="28" fillId="13" borderId="14" xfId="0" applyNumberFormat="1" applyFont="1" applyFill="1" applyBorder="1" applyAlignment="1">
      <alignment vertical="center" wrapText="1"/>
    </xf>
    <xf numFmtId="4" fontId="28" fillId="13" borderId="13" xfId="0" applyNumberFormat="1" applyFont="1" applyFill="1" applyBorder="1" applyAlignment="1">
      <alignment vertical="center" wrapText="1"/>
    </xf>
    <xf numFmtId="4" fontId="1" fillId="2" borderId="1" xfId="0" applyNumberFormat="1" applyFont="1" applyFill="1" applyBorder="1" applyAlignment="1">
      <alignment horizontal="center" vertical="center"/>
    </xf>
    <xf numFmtId="2" fontId="0" fillId="2" borderId="1" xfId="0" applyNumberFormat="1" applyFill="1" applyBorder="1" applyAlignment="1">
      <alignment horizontal="center" vertical="center"/>
    </xf>
    <xf numFmtId="4" fontId="0" fillId="2" borderId="1" xfId="0" applyNumberFormat="1" applyFill="1" applyBorder="1" applyAlignment="1">
      <alignment horizontal="center" vertical="center"/>
    </xf>
    <xf numFmtId="2" fontId="0" fillId="13" borderId="1" xfId="0" applyNumberFormat="1" applyFill="1" applyBorder="1" applyAlignment="1">
      <alignment horizontal="center" vertical="center"/>
    </xf>
    <xf numFmtId="4" fontId="1" fillId="13" borderId="1" xfId="0" applyNumberFormat="1" applyFont="1" applyFill="1" applyBorder="1" applyAlignment="1">
      <alignment horizontal="center" vertical="center"/>
    </xf>
    <xf numFmtId="4" fontId="2" fillId="16" borderId="1" xfId="0" applyNumberFormat="1" applyFont="1" applyFill="1" applyBorder="1" applyAlignment="1">
      <alignment horizontal="center" vertical="center"/>
    </xf>
    <xf numFmtId="4" fontId="2" fillId="0" borderId="1" xfId="0" applyNumberFormat="1" applyFont="1" applyBorder="1" applyAlignment="1">
      <alignment horizontal="center"/>
    </xf>
    <xf numFmtId="4" fontId="1" fillId="0" borderId="1" xfId="0" applyNumberFormat="1" applyFont="1" applyBorder="1" applyAlignment="1">
      <alignment horizontal="center"/>
    </xf>
    <xf numFmtId="0" fontId="1" fillId="17" borderId="1" xfId="0" applyFont="1" applyFill="1" applyBorder="1" applyAlignment="1">
      <alignment horizontal="center" vertical="center" wrapText="1"/>
    </xf>
    <xf numFmtId="0" fontId="2" fillId="0" borderId="0" xfId="0" applyFont="1" applyAlignment="1">
      <alignment horizontal="center" vertical="center" textRotation="90"/>
    </xf>
    <xf numFmtId="0" fontId="1" fillId="7" borderId="0" xfId="0" applyFont="1" applyFill="1" applyAlignment="1">
      <alignment horizontal="center" vertical="top"/>
    </xf>
    <xf numFmtId="0" fontId="2" fillId="7" borderId="0" xfId="0" applyFont="1" applyFill="1" applyAlignment="1">
      <alignment horizontal="center" vertical="center" wrapText="1"/>
    </xf>
    <xf numFmtId="0" fontId="23" fillId="0" borderId="1" xfId="0" applyFont="1" applyBorder="1" applyAlignment="1">
      <alignment horizontal="center" vertical="center"/>
    </xf>
    <xf numFmtId="168" fontId="23" fillId="0" borderId="1" xfId="0" applyNumberFormat="1" applyFont="1" applyBorder="1" applyAlignment="1">
      <alignment horizontal="center" vertical="center"/>
    </xf>
    <xf numFmtId="168" fontId="1" fillId="0" borderId="1" xfId="0" applyNumberFormat="1" applyFont="1" applyBorder="1" applyAlignment="1">
      <alignment horizontal="center" vertical="center"/>
    </xf>
    <xf numFmtId="0" fontId="7" fillId="0" borderId="1" xfId="1" applyBorder="1" applyAlignment="1">
      <alignment horizontal="center" vertical="center" wrapText="1"/>
    </xf>
    <xf numFmtId="0" fontId="16" fillId="0" borderId="1" xfId="0" applyFont="1" applyBorder="1" applyAlignment="1">
      <alignment horizontal="center" vertical="center"/>
    </xf>
    <xf numFmtId="4" fontId="1" fillId="7" borderId="14" xfId="0" applyNumberFormat="1" applyFont="1" applyFill="1" applyBorder="1" applyAlignment="1">
      <alignment horizontal="center" vertical="top"/>
    </xf>
    <xf numFmtId="4" fontId="2" fillId="2" borderId="1" xfId="0" applyNumberFormat="1" applyFont="1" applyFill="1" applyBorder="1" applyAlignment="1">
      <alignment horizontal="center" vertical="center"/>
    </xf>
    <xf numFmtId="4" fontId="1" fillId="0" borderId="0" xfId="0" applyNumberFormat="1" applyFont="1"/>
    <xf numFmtId="4" fontId="2" fillId="13" borderId="1" xfId="0" applyNumberFormat="1" applyFont="1" applyFill="1" applyBorder="1" applyAlignment="1">
      <alignment horizontal="center" vertical="center"/>
    </xf>
    <xf numFmtId="2" fontId="2" fillId="0" borderId="1" xfId="0" applyNumberFormat="1" applyFont="1" applyBorder="1" applyAlignment="1">
      <alignment horizontal="center" vertical="center"/>
    </xf>
    <xf numFmtId="171" fontId="1" fillId="0" borderId="1" xfId="0" applyNumberFormat="1" applyFont="1" applyBorder="1" applyAlignment="1">
      <alignment horizontal="center" vertical="center"/>
    </xf>
    <xf numFmtId="0" fontId="1" fillId="0" borderId="1" xfId="0" applyFont="1" applyBorder="1" applyAlignment="1">
      <alignment horizontal="left" vertical="top"/>
    </xf>
    <xf numFmtId="0" fontId="1" fillId="0" borderId="1" xfId="0" applyFont="1" applyBorder="1" applyAlignment="1">
      <alignment horizontal="center" vertical="top"/>
    </xf>
    <xf numFmtId="0" fontId="13" fillId="0" borderId="1" xfId="0" applyFont="1" applyBorder="1" applyAlignment="1" applyProtection="1">
      <alignment horizontal="center" vertical="center"/>
      <protection locked="0"/>
    </xf>
    <xf numFmtId="0" fontId="13" fillId="0" borderId="1" xfId="0" applyFont="1" applyBorder="1" applyAlignment="1">
      <alignment horizontal="center" vertical="center"/>
    </xf>
    <xf numFmtId="0" fontId="13" fillId="0" borderId="14" xfId="0" applyFont="1" applyBorder="1" applyAlignment="1" applyProtection="1">
      <alignment horizontal="center" vertical="center"/>
      <protection locked="0"/>
    </xf>
    <xf numFmtId="0" fontId="13" fillId="19" borderId="1" xfId="0" applyFont="1" applyFill="1" applyBorder="1" applyAlignment="1">
      <alignment horizontal="center" vertical="center" wrapText="1"/>
    </xf>
    <xf numFmtId="0" fontId="13" fillId="19" borderId="1" xfId="0" applyFont="1" applyFill="1" applyBorder="1" applyAlignment="1">
      <alignment horizontal="center" vertical="center"/>
    </xf>
    <xf numFmtId="0" fontId="1" fillId="19" borderId="1" xfId="0" applyFont="1" applyFill="1" applyBorder="1" applyAlignment="1">
      <alignment horizontal="center" vertical="center"/>
    </xf>
    <xf numFmtId="167" fontId="13" fillId="19" borderId="1" xfId="0" applyNumberFormat="1" applyFont="1" applyFill="1" applyBorder="1" applyAlignment="1">
      <alignment horizontal="center" vertical="center"/>
    </xf>
    <xf numFmtId="0" fontId="2" fillId="13" borderId="1" xfId="0" applyFont="1" applyFill="1" applyBorder="1" applyAlignment="1">
      <alignment horizontal="center" vertical="center"/>
    </xf>
    <xf numFmtId="173" fontId="1" fillId="0" borderId="1" xfId="0" applyNumberFormat="1" applyFont="1" applyBorder="1" applyAlignment="1">
      <alignment horizontal="center" vertical="center"/>
    </xf>
    <xf numFmtId="166" fontId="13" fillId="19" borderId="1" xfId="0" applyNumberFormat="1" applyFont="1" applyFill="1" applyBorder="1" applyAlignment="1">
      <alignment horizontal="center" vertical="center"/>
    </xf>
    <xf numFmtId="0" fontId="1" fillId="20" borderId="1" xfId="0" applyFont="1" applyFill="1" applyBorder="1" applyAlignment="1">
      <alignment horizontal="center" vertical="center" wrapText="1"/>
    </xf>
    <xf numFmtId="169" fontId="1" fillId="0" borderId="1" xfId="0" applyNumberFormat="1" applyFont="1" applyBorder="1" applyAlignment="1">
      <alignment horizontal="center" vertical="center"/>
    </xf>
    <xf numFmtId="2" fontId="1" fillId="7" borderId="1" xfId="0" applyNumberFormat="1" applyFont="1" applyFill="1" applyBorder="1" applyAlignment="1">
      <alignment horizontal="center" vertical="center"/>
    </xf>
    <xf numFmtId="0" fontId="23" fillId="21" borderId="1" xfId="0" applyFont="1" applyFill="1" applyBorder="1" applyAlignment="1">
      <alignment horizontal="center" vertical="center"/>
    </xf>
    <xf numFmtId="3" fontId="1" fillId="0" borderId="1" xfId="0" applyNumberFormat="1" applyFont="1" applyBorder="1" applyAlignment="1">
      <alignment horizontal="center" vertical="center"/>
    </xf>
    <xf numFmtId="172" fontId="1" fillId="0" borderId="1" xfId="0" applyNumberFormat="1" applyFont="1" applyBorder="1" applyAlignment="1">
      <alignment horizontal="center" vertical="center"/>
    </xf>
    <xf numFmtId="170" fontId="1" fillId="0" borderId="0" xfId="0" applyNumberFormat="1" applyFont="1"/>
    <xf numFmtId="0" fontId="7" fillId="0" borderId="12" xfId="1" applyBorder="1" applyAlignment="1">
      <alignment horizontal="center" vertical="center"/>
    </xf>
    <xf numFmtId="0" fontId="26" fillId="0" borderId="12" xfId="1" applyFont="1" applyBorder="1" applyAlignment="1">
      <alignment horizontal="center" vertical="center"/>
    </xf>
    <xf numFmtId="0" fontId="26" fillId="0" borderId="12" xfId="1" applyFont="1" applyBorder="1" applyAlignment="1">
      <alignment horizontal="center" vertical="center" wrapText="1"/>
    </xf>
    <xf numFmtId="0" fontId="1" fillId="22" borderId="1" xfId="0" applyFont="1" applyFill="1" applyBorder="1" applyAlignment="1">
      <alignment horizontal="center" vertical="center" wrapText="1"/>
    </xf>
    <xf numFmtId="0" fontId="30" fillId="0" borderId="0" xfId="0" applyFont="1" applyAlignment="1">
      <alignment horizontal="center" vertical="center"/>
    </xf>
    <xf numFmtId="175" fontId="1" fillId="7" borderId="1" xfId="0" applyNumberFormat="1" applyFont="1" applyFill="1" applyBorder="1" applyAlignment="1">
      <alignment horizontal="center" vertical="center"/>
    </xf>
    <xf numFmtId="169" fontId="28" fillId="0" borderId="1" xfId="0" applyNumberFormat="1" applyFont="1" applyBorder="1" applyAlignment="1">
      <alignment horizontal="center" vertical="center" wrapText="1"/>
    </xf>
    <xf numFmtId="9" fontId="28" fillId="0" borderId="1" xfId="3" applyFont="1" applyBorder="1" applyAlignment="1">
      <alignment horizontal="center" vertical="center" wrapText="1"/>
    </xf>
    <xf numFmtId="176" fontId="28" fillId="0" borderId="1" xfId="3" applyNumberFormat="1" applyFont="1" applyBorder="1" applyAlignment="1">
      <alignment horizontal="center" vertical="center" wrapText="1"/>
    </xf>
    <xf numFmtId="9" fontId="0" fillId="0" borderId="0" xfId="0" applyNumberFormat="1"/>
    <xf numFmtId="1" fontId="0" fillId="0" borderId="0" xfId="0" applyNumberFormat="1"/>
    <xf numFmtId="4" fontId="0" fillId="0" borderId="0" xfId="0" applyNumberFormat="1"/>
    <xf numFmtId="4" fontId="1" fillId="17" borderId="1" xfId="0" applyNumberFormat="1" applyFont="1" applyFill="1" applyBorder="1" applyAlignment="1">
      <alignment horizontal="center" vertical="center" wrapText="1"/>
    </xf>
    <xf numFmtId="177" fontId="0" fillId="0" borderId="0" xfId="3" applyNumberFormat="1" applyFont="1"/>
    <xf numFmtId="0" fontId="2" fillId="22" borderId="1" xfId="0" applyFont="1" applyFill="1" applyBorder="1" applyAlignment="1">
      <alignment horizontal="center" vertical="center" wrapText="1"/>
    </xf>
    <xf numFmtId="4" fontId="33" fillId="13" borderId="1" xfId="0" applyNumberFormat="1" applyFont="1" applyFill="1" applyBorder="1" applyAlignment="1">
      <alignment horizontal="center" vertical="center" wrapText="1"/>
    </xf>
    <xf numFmtId="0" fontId="32" fillId="17" borderId="1" xfId="0" applyFont="1" applyFill="1" applyBorder="1" applyAlignment="1">
      <alignment horizontal="center" vertical="center" wrapText="1"/>
    </xf>
    <xf numFmtId="4" fontId="28" fillId="0" borderId="14" xfId="0" applyNumberFormat="1" applyFont="1" applyBorder="1" applyAlignment="1">
      <alignment horizontal="center" vertical="center" wrapText="1"/>
    </xf>
    <xf numFmtId="4" fontId="0" fillId="13" borderId="1" xfId="0" applyNumberFormat="1" applyFill="1" applyBorder="1" applyAlignment="1">
      <alignment horizontal="center" vertical="center"/>
    </xf>
    <xf numFmtId="4" fontId="28" fillId="0" borderId="12" xfId="0" applyNumberFormat="1" applyFont="1" applyBorder="1" applyAlignment="1">
      <alignment horizontal="center" vertical="center" wrapText="1"/>
    </xf>
    <xf numFmtId="0" fontId="28" fillId="0" borderId="1" xfId="3" applyNumberFormat="1" applyFont="1" applyBorder="1" applyAlignment="1">
      <alignment horizontal="center" vertical="center" wrapText="1"/>
    </xf>
    <xf numFmtId="3" fontId="28" fillId="13" borderId="1" xfId="0" applyNumberFormat="1" applyFont="1" applyFill="1" applyBorder="1" applyAlignment="1">
      <alignment horizontal="center" vertical="center" wrapText="1"/>
    </xf>
    <xf numFmtId="0" fontId="32" fillId="17" borderId="10" xfId="0" applyFont="1" applyFill="1" applyBorder="1" applyAlignment="1">
      <alignment horizontal="center" vertical="center" wrapText="1"/>
    </xf>
    <xf numFmtId="168" fontId="28" fillId="0" borderId="1" xfId="0" applyNumberFormat="1" applyFont="1" applyBorder="1" applyAlignment="1">
      <alignment horizontal="center" vertical="center" wrapText="1"/>
    </xf>
    <xf numFmtId="0" fontId="1" fillId="22" borderId="2" xfId="0" applyFont="1" applyFill="1" applyBorder="1" applyAlignment="1">
      <alignment horizontal="center" vertical="center" wrapText="1"/>
    </xf>
    <xf numFmtId="3" fontId="28" fillId="0" borderId="1" xfId="0" applyNumberFormat="1" applyFont="1" applyBorder="1" applyAlignment="1">
      <alignment horizontal="center" vertical="center" wrapText="1"/>
    </xf>
    <xf numFmtId="172" fontId="28" fillId="0" borderId="1" xfId="0" applyNumberFormat="1" applyFont="1" applyBorder="1" applyAlignment="1">
      <alignment horizontal="center" vertical="center" wrapText="1"/>
    </xf>
    <xf numFmtId="174" fontId="28" fillId="13" borderId="1" xfId="0" applyNumberFormat="1" applyFont="1" applyFill="1" applyBorder="1" applyAlignment="1">
      <alignment horizontal="center" vertical="center" wrapText="1"/>
    </xf>
    <xf numFmtId="2" fontId="0" fillId="0" borderId="0" xfId="0" applyNumberFormat="1"/>
    <xf numFmtId="178" fontId="13" fillId="19" borderId="1" xfId="0" applyNumberFormat="1" applyFont="1" applyFill="1" applyBorder="1" applyAlignment="1">
      <alignment horizontal="center" vertical="center"/>
    </xf>
    <xf numFmtId="179" fontId="1" fillId="0" borderId="1" xfId="0" applyNumberFormat="1" applyFont="1" applyBorder="1" applyAlignment="1">
      <alignment horizontal="center" vertical="center"/>
    </xf>
    <xf numFmtId="172" fontId="1" fillId="2" borderId="1" xfId="0" applyNumberFormat="1" applyFont="1" applyFill="1" applyBorder="1" applyAlignment="1">
      <alignment horizontal="center" vertical="center"/>
    </xf>
    <xf numFmtId="0" fontId="2" fillId="17" borderId="10" xfId="0" applyFont="1" applyFill="1" applyBorder="1" applyAlignment="1">
      <alignment horizontal="center" vertical="center" wrapText="1"/>
    </xf>
    <xf numFmtId="0" fontId="1" fillId="22" borderId="14" xfId="0" applyFont="1" applyFill="1" applyBorder="1" applyAlignment="1">
      <alignment horizontal="center" vertical="center" wrapText="1"/>
    </xf>
    <xf numFmtId="0" fontId="1" fillId="22" borderId="13" xfId="0" applyFont="1" applyFill="1" applyBorder="1" applyAlignment="1">
      <alignment horizontal="center" vertical="center" wrapText="1"/>
    </xf>
    <xf numFmtId="11" fontId="1" fillId="0" borderId="1" xfId="0" applyNumberFormat="1" applyFont="1" applyBorder="1" applyAlignment="1">
      <alignment horizontal="center" vertical="center"/>
    </xf>
    <xf numFmtId="3" fontId="28" fillId="13" borderId="14" xfId="0" applyNumberFormat="1" applyFont="1" applyFill="1" applyBorder="1" applyAlignment="1">
      <alignment horizontal="center" vertical="center" wrapText="1"/>
    </xf>
    <xf numFmtId="0" fontId="1" fillId="18" borderId="1" xfId="0" applyFont="1" applyFill="1" applyBorder="1" applyAlignment="1">
      <alignment horizontal="center" vertical="center" wrapText="1"/>
    </xf>
    <xf numFmtId="0" fontId="16" fillId="0" borderId="1" xfId="0" applyFont="1" applyBorder="1" applyAlignment="1">
      <alignment horizontal="center" vertical="center" wrapText="1"/>
    </xf>
    <xf numFmtId="4" fontId="28" fillId="23" borderId="14" xfId="0" applyNumberFormat="1" applyFont="1" applyFill="1" applyBorder="1" applyAlignment="1">
      <alignment vertical="center" wrapText="1"/>
    </xf>
    <xf numFmtId="4" fontId="28" fillId="23" borderId="13" xfId="0" applyNumberFormat="1" applyFont="1" applyFill="1" applyBorder="1" applyAlignment="1">
      <alignment vertical="center" wrapText="1"/>
    </xf>
    <xf numFmtId="4" fontId="28" fillId="23" borderId="1" xfId="0" applyNumberFormat="1" applyFont="1" applyFill="1" applyBorder="1" applyAlignment="1">
      <alignment horizontal="center" vertical="center" wrapText="1"/>
    </xf>
    <xf numFmtId="4" fontId="28" fillId="23" borderId="14" xfId="0" applyNumberFormat="1" applyFont="1" applyFill="1" applyBorder="1" applyAlignment="1">
      <alignment horizontal="center" vertical="center" wrapText="1"/>
    </xf>
    <xf numFmtId="4" fontId="28" fillId="23" borderId="13" xfId="0" applyNumberFormat="1" applyFont="1" applyFill="1" applyBorder="1" applyAlignment="1">
      <alignment horizontal="center" vertical="center" wrapText="1"/>
    </xf>
    <xf numFmtId="168" fontId="28" fillId="23" borderId="14" xfId="0" applyNumberFormat="1" applyFont="1" applyFill="1" applyBorder="1" applyAlignment="1">
      <alignment horizontal="center" vertical="center" wrapText="1"/>
    </xf>
    <xf numFmtId="170" fontId="1" fillId="0" borderId="1" xfId="0" applyNumberFormat="1" applyFont="1" applyBorder="1" applyAlignment="1">
      <alignment horizontal="center" vertical="center"/>
    </xf>
    <xf numFmtId="2" fontId="1" fillId="0" borderId="0" xfId="0" applyNumberFormat="1" applyFont="1"/>
    <xf numFmtId="0" fontId="10" fillId="22" borderId="1" xfId="0" applyFont="1" applyFill="1" applyBorder="1" applyAlignment="1">
      <alignment horizontal="center" vertical="center"/>
    </xf>
    <xf numFmtId="0" fontId="33" fillId="26" borderId="1" xfId="5" applyFont="1" applyFill="1" applyBorder="1" applyAlignment="1">
      <alignment horizontal="center" vertical="center" wrapText="1"/>
    </xf>
    <xf numFmtId="0" fontId="33" fillId="25" borderId="1" xfId="5" applyFont="1" applyFill="1" applyBorder="1" applyAlignment="1">
      <alignment horizontal="center" vertical="center" wrapText="1"/>
    </xf>
    <xf numFmtId="0" fontId="33" fillId="27" borderId="1" xfId="5" applyFont="1" applyFill="1" applyBorder="1" applyAlignment="1">
      <alignment horizontal="center" vertical="center" wrapText="1"/>
    </xf>
    <xf numFmtId="0" fontId="0" fillId="29" borderId="1" xfId="5" applyFont="1" applyFill="1" applyBorder="1" applyAlignment="1">
      <alignment horizontal="center" vertical="center" wrapText="1"/>
    </xf>
    <xf numFmtId="4" fontId="0" fillId="0" borderId="1" xfId="5" applyNumberFormat="1" applyFont="1" applyBorder="1" applyAlignment="1">
      <alignment horizontal="center" vertical="center" wrapText="1"/>
    </xf>
    <xf numFmtId="4" fontId="0" fillId="7" borderId="1" xfId="5" applyNumberFormat="1" applyFont="1" applyFill="1" applyBorder="1" applyAlignment="1">
      <alignment horizontal="center" vertical="center" wrapText="1"/>
    </xf>
    <xf numFmtId="4" fontId="0" fillId="7" borderId="1" xfId="4" applyNumberFormat="1" applyFont="1" applyFill="1" applyBorder="1" applyAlignment="1">
      <alignment horizontal="center" vertical="center" wrapText="1"/>
    </xf>
    <xf numFmtId="4" fontId="32" fillId="0" borderId="1" xfId="5" applyNumberFormat="1" applyFont="1" applyBorder="1" applyAlignment="1">
      <alignment vertical="center"/>
    </xf>
    <xf numFmtId="4" fontId="0" fillId="0" borderId="1" xfId="5" applyNumberFormat="1" applyFont="1" applyBorder="1" applyAlignment="1">
      <alignment vertical="center"/>
    </xf>
    <xf numFmtId="0" fontId="0" fillId="30" borderId="1" xfId="5" applyFont="1" applyFill="1" applyBorder="1" applyAlignment="1">
      <alignment horizontal="center" vertical="center" wrapText="1"/>
    </xf>
    <xf numFmtId="0" fontId="32" fillId="31" borderId="1" xfId="5" applyFont="1" applyFill="1" applyBorder="1" applyAlignment="1">
      <alignment horizontal="center" vertical="center" wrapText="1"/>
    </xf>
    <xf numFmtId="4" fontId="32" fillId="32" borderId="1" xfId="5" applyNumberFormat="1" applyFont="1" applyFill="1" applyBorder="1" applyAlignment="1">
      <alignment horizontal="center" vertical="center" wrapText="1"/>
    </xf>
    <xf numFmtId="4" fontId="0" fillId="0" borderId="0" xfId="5" applyNumberFormat="1" applyFont="1" applyAlignment="1">
      <alignment horizontal="center" vertical="center" wrapText="1"/>
    </xf>
    <xf numFmtId="2" fontId="0" fillId="0" borderId="0" xfId="5" applyNumberFormat="1" applyFont="1" applyAlignment="1">
      <alignment horizontal="center" vertical="center" wrapText="1"/>
    </xf>
    <xf numFmtId="0" fontId="32" fillId="7" borderId="0" xfId="4" applyFont="1" applyFill="1" applyBorder="1" applyAlignment="1">
      <alignment horizontal="center" vertical="center"/>
    </xf>
    <xf numFmtId="0" fontId="0" fillId="0" borderId="0" xfId="5" applyFont="1" applyAlignment="1">
      <alignment vertical="center"/>
    </xf>
    <xf numFmtId="0" fontId="7" fillId="4" borderId="1" xfId="1" applyFill="1" applyBorder="1" applyAlignment="1">
      <alignment horizontal="center" vertical="center" wrapText="1"/>
    </xf>
    <xf numFmtId="176" fontId="1" fillId="0" borderId="0" xfId="3" applyNumberFormat="1" applyFont="1"/>
    <xf numFmtId="176" fontId="1" fillId="0" borderId="0" xfId="0" applyNumberFormat="1" applyFont="1"/>
    <xf numFmtId="10" fontId="0" fillId="0" borderId="0" xfId="3" applyNumberFormat="1" applyFont="1"/>
    <xf numFmtId="10" fontId="0" fillId="0" borderId="0" xfId="0" applyNumberFormat="1"/>
    <xf numFmtId="172" fontId="28" fillId="13" borderId="1" xfId="0" applyNumberFormat="1" applyFont="1" applyFill="1" applyBorder="1" applyAlignment="1">
      <alignment horizontal="center" vertical="center" wrapText="1"/>
    </xf>
    <xf numFmtId="2" fontId="1" fillId="0" borderId="0" xfId="0" applyNumberFormat="1" applyFont="1" applyAlignment="1">
      <alignment horizontal="center" vertical="center"/>
    </xf>
    <xf numFmtId="9" fontId="0" fillId="0" borderId="0" xfId="3" applyFont="1"/>
    <xf numFmtId="9" fontId="1" fillId="0" borderId="0" xfId="3" applyFont="1"/>
    <xf numFmtId="0" fontId="3" fillId="0" borderId="1" xfId="0" applyFont="1" applyBorder="1" applyAlignment="1">
      <alignment horizontal="center"/>
    </xf>
    <xf numFmtId="0" fontId="1" fillId="2" borderId="1" xfId="0" applyFont="1" applyFill="1" applyBorder="1" applyAlignment="1">
      <alignment horizontal="center" vertical="center" wrapText="1"/>
    </xf>
    <xf numFmtId="0" fontId="1" fillId="0" borderId="1" xfId="0" applyFont="1" applyBorder="1" applyAlignment="1">
      <alignment horizont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0" xfId="0" applyFont="1" applyAlignment="1">
      <alignment horizontal="center" vertical="center"/>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4" fillId="0" borderId="0" xfId="0" applyFont="1" applyAlignment="1">
      <alignment horizontal="center"/>
    </xf>
    <xf numFmtId="0" fontId="3" fillId="2" borderId="1" xfId="0" applyFont="1" applyFill="1" applyBorder="1" applyAlignment="1">
      <alignment horizontal="left"/>
    </xf>
    <xf numFmtId="0" fontId="3" fillId="2" borderId="1" xfId="0" applyFont="1" applyFill="1" applyBorder="1" applyAlignment="1">
      <alignment horizontal="center"/>
    </xf>
    <xf numFmtId="0" fontId="20" fillId="5" borderId="1" xfId="1" applyFont="1" applyFill="1" applyBorder="1" applyAlignment="1">
      <alignment horizontal="right"/>
    </xf>
    <xf numFmtId="0" fontId="20" fillId="4" borderId="1" xfId="1" applyFont="1" applyFill="1" applyBorder="1" applyAlignment="1">
      <alignment horizontal="right"/>
    </xf>
    <xf numFmtId="0" fontId="4" fillId="0" borderId="1" xfId="0" applyFont="1" applyBorder="1" applyAlignment="1">
      <alignment horizontal="center" vertical="center"/>
    </xf>
    <xf numFmtId="0" fontId="4" fillId="0" borderId="1" xfId="0" applyFont="1" applyBorder="1" applyAlignment="1">
      <alignment horizontal="center"/>
    </xf>
    <xf numFmtId="14" fontId="4" fillId="0" borderId="1" xfId="0" applyNumberFormat="1" applyFont="1" applyBorder="1" applyAlignment="1">
      <alignment horizontal="center"/>
    </xf>
    <xf numFmtId="0" fontId="4" fillId="0" borderId="14" xfId="0" applyFont="1" applyBorder="1" applyAlignment="1">
      <alignment horizontal="center"/>
    </xf>
    <xf numFmtId="0" fontId="4" fillId="0" borderId="13" xfId="0" applyFont="1" applyBorder="1" applyAlignment="1">
      <alignment horizontal="center"/>
    </xf>
    <xf numFmtId="0" fontId="3" fillId="2" borderId="1" xfId="0" applyFont="1" applyFill="1" applyBorder="1" applyAlignment="1">
      <alignment horizontal="center" vertical="center"/>
    </xf>
    <xf numFmtId="0" fontId="20" fillId="3" borderId="1" xfId="1" applyFont="1" applyFill="1" applyBorder="1" applyAlignment="1">
      <alignment horizontal="right"/>
    </xf>
    <xf numFmtId="0" fontId="26" fillId="0" borderId="14" xfId="1" applyFont="1" applyBorder="1" applyAlignment="1">
      <alignment horizontal="center" vertical="center"/>
    </xf>
    <xf numFmtId="0" fontId="26" fillId="0" borderId="13" xfId="1" applyFont="1" applyBorder="1" applyAlignment="1">
      <alignment horizontal="center" vertical="center"/>
    </xf>
    <xf numFmtId="0" fontId="7" fillId="0" borderId="1" xfId="1" applyBorder="1" applyAlignment="1">
      <alignment horizontal="center"/>
    </xf>
    <xf numFmtId="0" fontId="23" fillId="0" borderId="14" xfId="0" applyFont="1" applyBorder="1" applyAlignment="1">
      <alignment horizontal="left" vertical="center" wrapText="1"/>
    </xf>
    <xf numFmtId="0" fontId="24" fillId="0" borderId="15" xfId="0" applyFont="1" applyBorder="1" applyAlignment="1">
      <alignment horizontal="left" vertical="center"/>
    </xf>
    <xf numFmtId="0" fontId="24" fillId="0" borderId="13" xfId="0" applyFont="1" applyBorder="1" applyAlignment="1">
      <alignment horizontal="left" vertical="center"/>
    </xf>
    <xf numFmtId="0" fontId="2" fillId="2" borderId="1" xfId="0" applyFont="1" applyFill="1" applyBorder="1" applyAlignment="1">
      <alignment horizontal="center"/>
    </xf>
    <xf numFmtId="0" fontId="25" fillId="0" borderId="14" xfId="0" applyFont="1" applyBorder="1" applyAlignment="1">
      <alignment horizontal="left" vertical="center" wrapText="1"/>
    </xf>
    <xf numFmtId="0" fontId="24" fillId="0" borderId="15" xfId="0" applyFont="1" applyBorder="1" applyAlignment="1">
      <alignment horizontal="left" wrapText="1"/>
    </xf>
    <xf numFmtId="0" fontId="24" fillId="0" borderId="13" xfId="0" applyFont="1" applyBorder="1" applyAlignment="1">
      <alignment horizontal="left" wrapText="1"/>
    </xf>
    <xf numFmtId="0" fontId="1" fillId="0" borderId="1" xfId="0" applyFont="1" applyBorder="1" applyAlignment="1">
      <alignment horizontal="center" wrapText="1"/>
    </xf>
    <xf numFmtId="0" fontId="1" fillId="0" borderId="1" xfId="0" applyFont="1" applyBorder="1" applyAlignment="1">
      <alignment horizontal="center" vertical="center"/>
    </xf>
    <xf numFmtId="0" fontId="1" fillId="2" borderId="2" xfId="0" applyFont="1" applyFill="1" applyBorder="1" applyAlignment="1">
      <alignment horizontal="center" vertical="center" wrapText="1"/>
    </xf>
    <xf numFmtId="0" fontId="1" fillId="2" borderId="15" xfId="0" applyFont="1" applyFill="1" applyBorder="1" applyAlignment="1">
      <alignment horizontal="center" vertical="center" wrapText="1"/>
    </xf>
    <xf numFmtId="0" fontId="1" fillId="2" borderId="13" xfId="0" applyFont="1" applyFill="1" applyBorder="1" applyAlignment="1">
      <alignment horizontal="center" vertical="center" wrapText="1"/>
    </xf>
    <xf numFmtId="0" fontId="2" fillId="2" borderId="14" xfId="0" applyFont="1" applyFill="1" applyBorder="1" applyAlignment="1">
      <alignment horizontal="center"/>
    </xf>
    <xf numFmtId="0" fontId="2" fillId="2" borderId="13" xfId="0" applyFont="1" applyFill="1" applyBorder="1" applyAlignment="1">
      <alignment horizontal="center"/>
    </xf>
    <xf numFmtId="0" fontId="1" fillId="0" borderId="1" xfId="0" applyFont="1" applyBorder="1" applyAlignment="1">
      <alignment horizontal="center" vertical="center" wrapText="1"/>
    </xf>
    <xf numFmtId="3" fontId="1" fillId="0" borderId="14" xfId="0" applyNumberFormat="1" applyFont="1" applyBorder="1" applyAlignment="1">
      <alignment horizontal="center" vertical="center"/>
    </xf>
    <xf numFmtId="3" fontId="1" fillId="0" borderId="15" xfId="0" applyNumberFormat="1" applyFont="1" applyBorder="1" applyAlignment="1">
      <alignment horizontal="center" vertical="center"/>
    </xf>
    <xf numFmtId="3" fontId="1" fillId="0" borderId="13" xfId="0" applyNumberFormat="1" applyFont="1" applyBorder="1" applyAlignment="1">
      <alignment horizontal="center" vertical="center"/>
    </xf>
    <xf numFmtId="0" fontId="1" fillId="0" borderId="14" xfId="0" applyFont="1" applyBorder="1" applyAlignment="1">
      <alignment horizontal="center" vertical="center"/>
    </xf>
    <xf numFmtId="0" fontId="1" fillId="0" borderId="15" xfId="0" applyFont="1" applyBorder="1" applyAlignment="1">
      <alignment horizontal="center" vertical="center"/>
    </xf>
    <xf numFmtId="0" fontId="1" fillId="0" borderId="13" xfId="0" applyFont="1" applyBorder="1" applyAlignment="1">
      <alignment horizontal="center" vertical="center"/>
    </xf>
    <xf numFmtId="0" fontId="7" fillId="0" borderId="10" xfId="1" applyBorder="1" applyAlignment="1">
      <alignment horizontal="center" vertical="center"/>
    </xf>
    <xf numFmtId="0" fontId="7" fillId="0" borderId="12" xfId="1" applyBorder="1" applyAlignment="1">
      <alignment horizontal="center" vertical="center"/>
    </xf>
    <xf numFmtId="0" fontId="1" fillId="0" borderId="10" xfId="0" applyFont="1" applyBorder="1" applyAlignment="1">
      <alignment horizontal="center" vertical="center"/>
    </xf>
    <xf numFmtId="0" fontId="1" fillId="0" borderId="12" xfId="0" applyFont="1" applyBorder="1" applyAlignment="1">
      <alignment horizontal="center" vertical="center"/>
    </xf>
    <xf numFmtId="0" fontId="2" fillId="2" borderId="1" xfId="0" applyFont="1" applyFill="1" applyBorder="1" applyAlignment="1">
      <alignment horizontal="center" vertical="center"/>
    </xf>
    <xf numFmtId="0" fontId="12" fillId="2" borderId="1" xfId="0" applyFont="1" applyFill="1" applyBorder="1" applyAlignment="1">
      <alignment horizontal="center" vertical="center"/>
    </xf>
    <xf numFmtId="0" fontId="13" fillId="10" borderId="1" xfId="0" applyFont="1" applyFill="1" applyBorder="1" applyAlignment="1">
      <alignment horizontal="center" vertical="center"/>
    </xf>
    <xf numFmtId="0" fontId="2" fillId="7" borderId="1" xfId="0" applyFont="1" applyFill="1" applyBorder="1" applyAlignment="1">
      <alignment horizontal="center" vertical="top"/>
    </xf>
    <xf numFmtId="0" fontId="2" fillId="7" borderId="14" xfId="0" applyFont="1" applyFill="1" applyBorder="1" applyAlignment="1">
      <alignment horizontal="center" vertical="top"/>
    </xf>
    <xf numFmtId="0" fontId="2" fillId="7" borderId="10" xfId="0" applyFont="1" applyFill="1" applyBorder="1" applyAlignment="1">
      <alignment horizontal="center" vertical="center" wrapText="1"/>
    </xf>
    <xf numFmtId="0" fontId="2" fillId="7" borderId="11" xfId="0" applyFont="1" applyFill="1" applyBorder="1" applyAlignment="1">
      <alignment horizontal="center" vertical="center" wrapText="1"/>
    </xf>
    <xf numFmtId="0" fontId="2" fillId="7" borderId="12" xfId="0" applyFont="1" applyFill="1" applyBorder="1" applyAlignment="1">
      <alignment horizontal="center" vertical="center" wrapText="1"/>
    </xf>
    <xf numFmtId="0" fontId="2" fillId="7" borderId="1" xfId="0" applyFont="1" applyFill="1" applyBorder="1" applyAlignment="1">
      <alignment horizontal="center" vertical="center"/>
    </xf>
    <xf numFmtId="0" fontId="2" fillId="7" borderId="14" xfId="0" applyFont="1" applyFill="1" applyBorder="1" applyAlignment="1">
      <alignment horizontal="center" vertical="center"/>
    </xf>
    <xf numFmtId="0" fontId="1" fillId="7" borderId="10" xfId="0" applyFont="1" applyFill="1" applyBorder="1" applyAlignment="1">
      <alignment horizontal="center" vertical="center" wrapText="1"/>
    </xf>
    <xf numFmtId="0" fontId="1" fillId="7" borderId="11" xfId="0" applyFont="1" applyFill="1" applyBorder="1" applyAlignment="1">
      <alignment horizontal="center" vertical="center" wrapText="1"/>
    </xf>
    <xf numFmtId="0" fontId="1" fillId="7" borderId="12" xfId="0" applyFont="1" applyFill="1" applyBorder="1" applyAlignment="1">
      <alignment horizontal="center" vertical="center" wrapText="1"/>
    </xf>
    <xf numFmtId="0" fontId="1" fillId="7" borderId="10" xfId="0" applyFont="1" applyFill="1" applyBorder="1" applyAlignment="1">
      <alignment horizontal="center" vertical="center"/>
    </xf>
    <xf numFmtId="0" fontId="1" fillId="7" borderId="12" xfId="0" applyFont="1" applyFill="1" applyBorder="1" applyAlignment="1">
      <alignment horizontal="center" vertical="center"/>
    </xf>
    <xf numFmtId="3" fontId="13" fillId="8" borderId="1" xfId="2" quotePrefix="1" applyNumberFormat="1" applyFont="1" applyFill="1" applyBorder="1" applyAlignment="1">
      <alignment horizontal="center" vertical="center"/>
    </xf>
    <xf numFmtId="0" fontId="12" fillId="9" borderId="1" xfId="0" applyFont="1" applyFill="1" applyBorder="1" applyAlignment="1">
      <alignment horizontal="center" vertical="center" wrapText="1"/>
    </xf>
    <xf numFmtId="0" fontId="13" fillId="19" borderId="1" xfId="0" applyFont="1" applyFill="1" applyBorder="1" applyAlignment="1">
      <alignment horizontal="center" vertical="center"/>
    </xf>
    <xf numFmtId="0" fontId="7" fillId="19" borderId="14" xfId="1" applyFill="1" applyBorder="1" applyAlignment="1">
      <alignment horizontal="center" vertical="center"/>
    </xf>
    <xf numFmtId="0" fontId="7" fillId="19" borderId="15" xfId="1" applyFill="1" applyBorder="1" applyAlignment="1">
      <alignment horizontal="center" vertical="center"/>
    </xf>
    <xf numFmtId="0" fontId="7" fillId="19" borderId="13" xfId="1" applyFill="1" applyBorder="1" applyAlignment="1">
      <alignment horizontal="center" vertical="center"/>
    </xf>
    <xf numFmtId="3" fontId="13" fillId="19" borderId="1" xfId="2" quotePrefix="1" applyNumberFormat="1" applyFont="1" applyFill="1" applyBorder="1" applyAlignment="1">
      <alignment horizontal="center" vertical="center"/>
    </xf>
    <xf numFmtId="0" fontId="12" fillId="2" borderId="1" xfId="0" applyFont="1" applyFill="1" applyBorder="1" applyAlignment="1">
      <alignment horizontal="center" vertical="center" wrapText="1"/>
    </xf>
    <xf numFmtId="3" fontId="13" fillId="11" borderId="1" xfId="2" quotePrefix="1" applyNumberFormat="1" applyFont="1" applyFill="1" applyBorder="1" applyAlignment="1">
      <alignment horizontal="center" vertical="center"/>
    </xf>
    <xf numFmtId="0" fontId="13" fillId="0" borderId="0" xfId="0" applyFont="1" applyAlignment="1">
      <alignment horizontal="center" vertical="center" wrapText="1"/>
    </xf>
    <xf numFmtId="3" fontId="7" fillId="19" borderId="1" xfId="1" quotePrefix="1" applyNumberFormat="1" applyFill="1" applyBorder="1" applyAlignment="1">
      <alignment horizontal="center" vertical="center"/>
    </xf>
    <xf numFmtId="0" fontId="2" fillId="0" borderId="1" xfId="0" applyFont="1" applyBorder="1" applyAlignment="1">
      <alignment horizontal="center" vertical="center" textRotation="90" wrapText="1"/>
    </xf>
    <xf numFmtId="0" fontId="2" fillId="0" borderId="1" xfId="0" applyFont="1" applyBorder="1" applyAlignment="1">
      <alignment horizontal="center" textRotation="90"/>
    </xf>
    <xf numFmtId="0" fontId="12" fillId="7" borderId="13" xfId="0" applyFont="1" applyFill="1" applyBorder="1" applyAlignment="1">
      <alignment horizontal="center" vertical="top"/>
    </xf>
    <xf numFmtId="0" fontId="12" fillId="7" borderId="1" xfId="0" applyFont="1" applyFill="1" applyBorder="1" applyAlignment="1">
      <alignment horizontal="center" vertical="top"/>
    </xf>
    <xf numFmtId="0" fontId="12" fillId="7" borderId="14" xfId="0" applyFont="1" applyFill="1" applyBorder="1" applyAlignment="1">
      <alignment horizontal="center" vertical="top"/>
    </xf>
    <xf numFmtId="0" fontId="2" fillId="7" borderId="3" xfId="0" applyFont="1" applyFill="1" applyBorder="1" applyAlignment="1">
      <alignment horizontal="center" vertical="top"/>
    </xf>
    <xf numFmtId="0" fontId="14" fillId="2" borderId="1" xfId="0" applyFont="1" applyFill="1" applyBorder="1" applyAlignment="1">
      <alignment horizontal="center"/>
    </xf>
    <xf numFmtId="0" fontId="14" fillId="2" borderId="1" xfId="0" applyFont="1" applyFill="1" applyBorder="1" applyAlignment="1">
      <alignment horizontal="center" vertical="center" wrapText="1"/>
    </xf>
    <xf numFmtId="0" fontId="1" fillId="0" borderId="0" xfId="0" applyFont="1" applyAlignment="1">
      <alignment horizontal="left" wrapText="1"/>
    </xf>
    <xf numFmtId="0" fontId="14" fillId="2" borderId="1" xfId="0" applyFont="1" applyFill="1" applyBorder="1" applyAlignment="1">
      <alignment horizontal="center" vertical="center"/>
    </xf>
    <xf numFmtId="0" fontId="2" fillId="0" borderId="10" xfId="0" applyFont="1" applyBorder="1" applyAlignment="1">
      <alignment horizontal="center" vertical="center" textRotation="90"/>
    </xf>
    <xf numFmtId="0" fontId="2" fillId="0" borderId="11" xfId="0" applyFont="1" applyBorder="1" applyAlignment="1">
      <alignment horizontal="center" vertical="center" textRotation="90"/>
    </xf>
    <xf numFmtId="0" fontId="2" fillId="0" borderId="12" xfId="0" applyFont="1" applyBorder="1" applyAlignment="1">
      <alignment horizontal="center" vertical="center" textRotation="90"/>
    </xf>
    <xf numFmtId="0" fontId="2" fillId="7" borderId="10" xfId="0" applyFont="1" applyFill="1" applyBorder="1" applyAlignment="1">
      <alignment horizontal="center" vertical="center"/>
    </xf>
    <xf numFmtId="0" fontId="2" fillId="7" borderId="12" xfId="0" applyFont="1" applyFill="1" applyBorder="1" applyAlignment="1">
      <alignment horizontal="center" vertical="center"/>
    </xf>
    <xf numFmtId="0" fontId="2" fillId="7" borderId="11" xfId="0" applyFont="1" applyFill="1" applyBorder="1" applyAlignment="1">
      <alignment horizontal="center" vertical="center"/>
    </xf>
    <xf numFmtId="0" fontId="2" fillId="2" borderId="14"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3" xfId="0" applyFont="1" applyFill="1" applyBorder="1" applyAlignment="1">
      <alignment horizontal="center" vertical="center"/>
    </xf>
    <xf numFmtId="0" fontId="2" fillId="0" borderId="19" xfId="0" applyFont="1" applyBorder="1" applyAlignment="1">
      <alignment horizontal="center" wrapText="1"/>
    </xf>
    <xf numFmtId="0" fontId="2" fillId="0" borderId="20" xfId="0" applyFont="1" applyBorder="1" applyAlignment="1">
      <alignment horizontal="center" wrapText="1"/>
    </xf>
    <xf numFmtId="0" fontId="2" fillId="0" borderId="16" xfId="0" applyFont="1" applyBorder="1" applyAlignment="1">
      <alignment horizontal="center"/>
    </xf>
    <xf numFmtId="0" fontId="2" fillId="0" borderId="17" xfId="0" applyFont="1" applyBorder="1" applyAlignment="1">
      <alignment horizontal="center"/>
    </xf>
    <xf numFmtId="0" fontId="2" fillId="0" borderId="19" xfId="0" applyFont="1" applyBorder="1" applyAlignment="1">
      <alignment horizontal="center"/>
    </xf>
    <xf numFmtId="0" fontId="2" fillId="0" borderId="20" xfId="0" applyFont="1" applyBorder="1" applyAlignment="1">
      <alignment horizontal="center"/>
    </xf>
    <xf numFmtId="0" fontId="2" fillId="0" borderId="21" xfId="0" applyFont="1" applyBorder="1" applyAlignment="1">
      <alignment horizontal="center" vertical="center" wrapText="1"/>
    </xf>
    <xf numFmtId="0" fontId="2" fillId="0" borderId="22" xfId="0" applyFont="1" applyBorder="1" applyAlignment="1">
      <alignment horizontal="center" vertical="center" wrapText="1"/>
    </xf>
    <xf numFmtId="0" fontId="2" fillId="0" borderId="23" xfId="0" applyFont="1" applyBorder="1" applyAlignment="1">
      <alignment horizontal="center" vertical="center" wrapText="1"/>
    </xf>
    <xf numFmtId="0" fontId="2" fillId="0" borderId="24" xfId="0" applyFont="1" applyBorder="1" applyAlignment="1">
      <alignment horizontal="center" vertical="center" wrapText="1"/>
    </xf>
    <xf numFmtId="0" fontId="2" fillId="0" borderId="25" xfId="0" applyFont="1" applyBorder="1" applyAlignment="1">
      <alignment horizontal="center" vertical="center" wrapText="1"/>
    </xf>
    <xf numFmtId="0" fontId="2" fillId="0" borderId="26" xfId="0" applyFont="1" applyBorder="1" applyAlignment="1">
      <alignment horizontal="center" vertical="center" wrapText="1"/>
    </xf>
    <xf numFmtId="0" fontId="1" fillId="0" borderId="21" xfId="0" applyFont="1" applyBorder="1" applyAlignment="1">
      <alignment horizontal="center" vertical="center"/>
    </xf>
    <xf numFmtId="0" fontId="1" fillId="0" borderId="22" xfId="0" applyFont="1" applyBorder="1" applyAlignment="1">
      <alignment horizontal="center" vertical="center"/>
    </xf>
    <xf numFmtId="0" fontId="1" fillId="0" borderId="23" xfId="0" applyFont="1" applyBorder="1" applyAlignment="1">
      <alignment horizontal="center" vertical="center"/>
    </xf>
    <xf numFmtId="0" fontId="1" fillId="0" borderId="24" xfId="0" applyFont="1" applyBorder="1" applyAlignment="1">
      <alignment horizontal="center" vertical="center"/>
    </xf>
    <xf numFmtId="0" fontId="1" fillId="0" borderId="25" xfId="0" applyFont="1" applyBorder="1" applyAlignment="1">
      <alignment horizontal="center" vertical="center"/>
    </xf>
    <xf numFmtId="0" fontId="1" fillId="0" borderId="26" xfId="0" applyFont="1" applyBorder="1" applyAlignment="1">
      <alignment horizontal="center" vertical="center"/>
    </xf>
    <xf numFmtId="0" fontId="2" fillId="0" borderId="27" xfId="0" applyFont="1" applyBorder="1" applyAlignment="1">
      <alignment horizontal="center" vertical="center"/>
    </xf>
    <xf numFmtId="0" fontId="2" fillId="0" borderId="28" xfId="0" applyFont="1" applyBorder="1" applyAlignment="1">
      <alignment horizontal="center" vertical="center"/>
    </xf>
    <xf numFmtId="4" fontId="1" fillId="0" borderId="27" xfId="0" applyNumberFormat="1" applyFont="1" applyBorder="1" applyAlignment="1">
      <alignment horizontal="center" vertical="center"/>
    </xf>
    <xf numFmtId="4" fontId="1" fillId="0" borderId="28" xfId="0" applyNumberFormat="1" applyFont="1" applyBorder="1" applyAlignment="1">
      <alignment horizontal="center" vertical="center"/>
    </xf>
    <xf numFmtId="0" fontId="2" fillId="2" borderId="10" xfId="0" applyFont="1" applyFill="1" applyBorder="1" applyAlignment="1">
      <alignment horizontal="center" vertical="center" wrapText="1"/>
    </xf>
    <xf numFmtId="0" fontId="2" fillId="2" borderId="12" xfId="0" applyFont="1" applyFill="1" applyBorder="1" applyAlignment="1">
      <alignment horizontal="center" vertical="center" wrapText="1"/>
    </xf>
    <xf numFmtId="0" fontId="2" fillId="2" borderId="10" xfId="0" applyFont="1" applyFill="1" applyBorder="1" applyAlignment="1">
      <alignment horizontal="center" vertical="center"/>
    </xf>
    <xf numFmtId="0" fontId="2" fillId="2" borderId="12" xfId="0" applyFont="1" applyFill="1" applyBorder="1" applyAlignment="1">
      <alignment horizontal="center" vertical="center"/>
    </xf>
    <xf numFmtId="0" fontId="2" fillId="2" borderId="14" xfId="0" applyFont="1" applyFill="1" applyBorder="1" applyAlignment="1">
      <alignment horizontal="center" vertical="center" wrapText="1"/>
    </xf>
    <xf numFmtId="0" fontId="2" fillId="2" borderId="15" xfId="0" applyFont="1" applyFill="1" applyBorder="1" applyAlignment="1">
      <alignment horizontal="center" vertical="center" wrapText="1"/>
    </xf>
    <xf numFmtId="0" fontId="2" fillId="2" borderId="13" xfId="0" applyFont="1" applyFill="1" applyBorder="1" applyAlignment="1">
      <alignment horizontal="center" vertical="center" wrapText="1"/>
    </xf>
    <xf numFmtId="0" fontId="2" fillId="2" borderId="1" xfId="0" applyFont="1" applyFill="1" applyBorder="1" applyAlignment="1">
      <alignment horizontal="center" vertical="center" wrapText="1"/>
    </xf>
    <xf numFmtId="0" fontId="2" fillId="2" borderId="0" xfId="0" applyFont="1" applyFill="1" applyAlignment="1">
      <alignment horizontal="left" vertical="center"/>
    </xf>
    <xf numFmtId="0" fontId="2" fillId="2" borderId="0" xfId="0" applyFont="1" applyFill="1" applyAlignment="1">
      <alignment horizontal="center" vertical="center"/>
    </xf>
    <xf numFmtId="0" fontId="2" fillId="0" borderId="18" xfId="0" applyFont="1" applyBorder="1" applyAlignment="1">
      <alignment horizontal="center"/>
    </xf>
    <xf numFmtId="0" fontId="2" fillId="0" borderId="18" xfId="0" applyFont="1" applyBorder="1" applyAlignment="1">
      <alignment horizontal="center" wrapText="1"/>
    </xf>
    <xf numFmtId="0" fontId="2" fillId="0" borderId="18" xfId="0" applyFont="1" applyBorder="1" applyAlignment="1">
      <alignment horizontal="center" vertical="center" wrapText="1"/>
    </xf>
    <xf numFmtId="0" fontId="1" fillId="0" borderId="18" xfId="0" applyFont="1" applyBorder="1" applyAlignment="1">
      <alignment horizontal="center" vertical="center"/>
    </xf>
    <xf numFmtId="0" fontId="2" fillId="0" borderId="18" xfId="0" applyFont="1" applyBorder="1" applyAlignment="1">
      <alignment horizontal="center" vertical="center"/>
    </xf>
    <xf numFmtId="4" fontId="1" fillId="0" borderId="18" xfId="0" applyNumberFormat="1" applyFont="1" applyBorder="1" applyAlignment="1">
      <alignment horizontal="center" vertical="center"/>
    </xf>
    <xf numFmtId="0" fontId="2" fillId="0" borderId="29" xfId="0" applyFont="1" applyBorder="1" applyAlignment="1">
      <alignment horizontal="center"/>
    </xf>
    <xf numFmtId="0" fontId="2" fillId="0" borderId="1" xfId="0" applyFont="1" applyBorder="1" applyAlignment="1">
      <alignment horizontal="center"/>
    </xf>
    <xf numFmtId="0" fontId="2" fillId="0" borderId="14" xfId="0" applyFont="1" applyBorder="1" applyAlignment="1">
      <alignment horizontal="center"/>
    </xf>
    <xf numFmtId="0" fontId="2" fillId="0" borderId="15" xfId="0" applyFont="1" applyBorder="1" applyAlignment="1">
      <alignment horizontal="center"/>
    </xf>
    <xf numFmtId="0" fontId="2" fillId="0" borderId="13" xfId="0" applyFont="1" applyBorder="1" applyAlignment="1">
      <alignment horizontal="center"/>
    </xf>
    <xf numFmtId="0" fontId="21" fillId="2" borderId="0" xfId="1" applyFont="1" applyFill="1" applyAlignment="1">
      <alignment horizontal="center"/>
    </xf>
    <xf numFmtId="0" fontId="2" fillId="0" borderId="14" xfId="0" applyFont="1" applyBorder="1" applyAlignment="1">
      <alignment horizontal="center" vertical="center" wrapText="1"/>
    </xf>
    <xf numFmtId="0" fontId="2" fillId="0" borderId="15" xfId="0" applyFont="1" applyBorder="1" applyAlignment="1">
      <alignment horizontal="center" vertical="center" wrapText="1"/>
    </xf>
    <xf numFmtId="0" fontId="2" fillId="0" borderId="13" xfId="0" applyFont="1" applyBorder="1" applyAlignment="1">
      <alignment horizontal="center" vertical="center" wrapText="1"/>
    </xf>
    <xf numFmtId="0" fontId="12" fillId="0" borderId="1" xfId="0" applyFont="1" applyBorder="1" applyAlignment="1">
      <alignment horizontal="right"/>
    </xf>
    <xf numFmtId="0" fontId="1" fillId="0" borderId="0" xfId="0" applyFont="1" applyAlignment="1">
      <alignment horizontal="center"/>
    </xf>
    <xf numFmtId="0" fontId="2" fillId="2" borderId="15" xfId="0" applyFont="1" applyFill="1" applyBorder="1" applyAlignment="1">
      <alignment horizontal="center"/>
    </xf>
    <xf numFmtId="0" fontId="2" fillId="0" borderId="0" xfId="0" applyFont="1" applyAlignment="1">
      <alignment horizontal="center"/>
    </xf>
    <xf numFmtId="0" fontId="12" fillId="0" borderId="14" xfId="0" applyFont="1" applyBorder="1" applyAlignment="1">
      <alignment horizontal="right"/>
    </xf>
    <xf numFmtId="0" fontId="12" fillId="0" borderId="15" xfId="0" applyFont="1" applyBorder="1" applyAlignment="1">
      <alignment horizontal="right"/>
    </xf>
    <xf numFmtId="0" fontId="12" fillId="0" borderId="13" xfId="0" applyFont="1" applyBorder="1" applyAlignment="1">
      <alignment horizontal="right"/>
    </xf>
    <xf numFmtId="0" fontId="12" fillId="0" borderId="14" xfId="0" applyFont="1" applyBorder="1" applyAlignment="1">
      <alignment horizontal="center" vertical="center"/>
    </xf>
    <xf numFmtId="0" fontId="12" fillId="0" borderId="15" xfId="0" applyFont="1" applyBorder="1" applyAlignment="1">
      <alignment horizontal="center" vertical="center"/>
    </xf>
    <xf numFmtId="0" fontId="12" fillId="0" borderId="13" xfId="0" applyFont="1" applyBorder="1" applyAlignment="1">
      <alignment horizontal="center" vertical="center"/>
    </xf>
    <xf numFmtId="0" fontId="27" fillId="17" borderId="0" xfId="0" applyFont="1" applyFill="1" applyAlignment="1">
      <alignment horizontal="center" vertical="center"/>
    </xf>
    <xf numFmtId="0" fontId="32" fillId="17" borderId="7" xfId="0" applyFont="1" applyFill="1" applyBorder="1" applyAlignment="1">
      <alignment horizontal="center" vertical="center" wrapText="1"/>
    </xf>
    <xf numFmtId="0" fontId="32" fillId="17" borderId="8" xfId="0" applyFont="1" applyFill="1" applyBorder="1" applyAlignment="1">
      <alignment horizontal="center" vertical="center" wrapText="1"/>
    </xf>
    <xf numFmtId="0" fontId="32" fillId="17" borderId="14" xfId="0" applyFont="1" applyFill="1" applyBorder="1" applyAlignment="1">
      <alignment horizontal="center" vertical="center" wrapText="1"/>
    </xf>
    <xf numFmtId="0" fontId="32" fillId="17" borderId="13" xfId="0" applyFont="1" applyFill="1" applyBorder="1" applyAlignment="1">
      <alignment horizontal="center" vertical="center" wrapText="1"/>
    </xf>
    <xf numFmtId="10" fontId="28" fillId="0" borderId="14" xfId="3" applyNumberFormat="1" applyFont="1" applyBorder="1" applyAlignment="1">
      <alignment horizontal="center" vertical="center" wrapText="1"/>
    </xf>
    <xf numFmtId="10" fontId="28" fillId="0" borderId="13" xfId="3" applyNumberFormat="1" applyFont="1" applyBorder="1" applyAlignment="1">
      <alignment horizontal="center" vertical="center" wrapText="1"/>
    </xf>
    <xf numFmtId="0" fontId="2" fillId="17" borderId="14" xfId="0" applyFont="1" applyFill="1" applyBorder="1" applyAlignment="1">
      <alignment horizontal="center" vertical="center" wrapText="1"/>
    </xf>
    <xf numFmtId="0" fontId="2" fillId="17" borderId="15" xfId="0" applyFont="1" applyFill="1" applyBorder="1" applyAlignment="1">
      <alignment horizontal="center" vertical="center" wrapText="1"/>
    </xf>
    <xf numFmtId="0" fontId="2" fillId="17" borderId="7" xfId="0" applyFont="1" applyFill="1" applyBorder="1" applyAlignment="1">
      <alignment horizontal="center" vertical="center" wrapText="1"/>
    </xf>
    <xf numFmtId="0" fontId="2" fillId="17" borderId="8" xfId="0" applyFont="1" applyFill="1" applyBorder="1" applyAlignment="1">
      <alignment horizontal="center" vertical="center" wrapText="1"/>
    </xf>
    <xf numFmtId="0" fontId="4" fillId="17" borderId="0" xfId="0" applyFont="1" applyFill="1" applyAlignment="1">
      <alignment horizontal="center" vertical="center"/>
    </xf>
    <xf numFmtId="0" fontId="26" fillId="0" borderId="0" xfId="0" applyFont="1" applyAlignment="1">
      <alignment vertical="center"/>
    </xf>
    <xf numFmtId="0" fontId="2" fillId="17" borderId="0" xfId="0" applyFont="1" applyFill="1" applyAlignment="1">
      <alignment horizontal="center" vertical="center"/>
    </xf>
    <xf numFmtId="0" fontId="1" fillId="17" borderId="14" xfId="0" applyFont="1" applyFill="1" applyBorder="1" applyAlignment="1">
      <alignment horizontal="center" vertical="center" wrapText="1"/>
    </xf>
    <xf numFmtId="0" fontId="1" fillId="17" borderId="15" xfId="0" applyFont="1" applyFill="1" applyBorder="1" applyAlignment="1">
      <alignment horizontal="center" vertical="center" wrapText="1"/>
    </xf>
    <xf numFmtId="0" fontId="1" fillId="17" borderId="13" xfId="0" applyFont="1" applyFill="1" applyBorder="1" applyAlignment="1">
      <alignment horizontal="center" vertical="center" wrapText="1"/>
    </xf>
    <xf numFmtId="10" fontId="28" fillId="0" borderId="2" xfId="3" applyNumberFormat="1" applyFont="1" applyBorder="1" applyAlignment="1">
      <alignment horizontal="center" vertical="center" wrapText="1"/>
    </xf>
    <xf numFmtId="10" fontId="28" fillId="0" borderId="4" xfId="3" applyNumberFormat="1" applyFont="1" applyBorder="1" applyAlignment="1">
      <alignment horizontal="center" vertical="center" wrapText="1"/>
    </xf>
    <xf numFmtId="10" fontId="28" fillId="0" borderId="5" xfId="3" applyNumberFormat="1" applyFont="1" applyBorder="1" applyAlignment="1">
      <alignment horizontal="center" vertical="center" wrapText="1"/>
    </xf>
    <xf numFmtId="10" fontId="28" fillId="0" borderId="6" xfId="3" applyNumberFormat="1" applyFont="1" applyBorder="1" applyAlignment="1">
      <alignment horizontal="center" vertical="center" wrapText="1"/>
    </xf>
    <xf numFmtId="10" fontId="28" fillId="0" borderId="7" xfId="3" applyNumberFormat="1" applyFont="1" applyBorder="1" applyAlignment="1">
      <alignment horizontal="center" vertical="center" wrapText="1"/>
    </xf>
    <xf numFmtId="10" fontId="28" fillId="0" borderId="9" xfId="3" applyNumberFormat="1" applyFont="1" applyBorder="1" applyAlignment="1">
      <alignment horizontal="center" vertical="center" wrapText="1"/>
    </xf>
    <xf numFmtId="4" fontId="28" fillId="0" borderId="10" xfId="0" applyNumberFormat="1" applyFont="1" applyBorder="1" applyAlignment="1">
      <alignment horizontal="center" vertical="center" wrapText="1"/>
    </xf>
    <xf numFmtId="4" fontId="28" fillId="0" borderId="11" xfId="0" applyNumberFormat="1" applyFont="1" applyBorder="1" applyAlignment="1">
      <alignment horizontal="center" vertical="center" wrapText="1"/>
    </xf>
    <xf numFmtId="4" fontId="28" fillId="0" borderId="12" xfId="0" applyNumberFormat="1" applyFont="1" applyBorder="1" applyAlignment="1">
      <alignment horizontal="center" vertical="center" wrapText="1"/>
    </xf>
    <xf numFmtId="0" fontId="2" fillId="17" borderId="13" xfId="0" applyFont="1" applyFill="1" applyBorder="1" applyAlignment="1">
      <alignment horizontal="center" vertical="center" wrapText="1"/>
    </xf>
    <xf numFmtId="4" fontId="28" fillId="0" borderId="14" xfId="0" applyNumberFormat="1" applyFont="1" applyBorder="1" applyAlignment="1">
      <alignment horizontal="center" vertical="center" wrapText="1"/>
    </xf>
    <xf numFmtId="4" fontId="28" fillId="0" borderId="13" xfId="0" applyNumberFormat="1" applyFont="1" applyBorder="1" applyAlignment="1">
      <alignment horizontal="center" vertical="center" wrapText="1"/>
    </xf>
    <xf numFmtId="4" fontId="1" fillId="17" borderId="14" xfId="0" applyNumberFormat="1" applyFont="1" applyFill="1" applyBorder="1" applyAlignment="1">
      <alignment horizontal="center" vertical="center" wrapText="1"/>
    </xf>
    <xf numFmtId="4" fontId="1" fillId="17" borderId="15" xfId="0" applyNumberFormat="1" applyFont="1" applyFill="1" applyBorder="1" applyAlignment="1">
      <alignment horizontal="center" vertical="center" wrapText="1"/>
    </xf>
    <xf numFmtId="4" fontId="1" fillId="17" borderId="13" xfId="0" applyNumberFormat="1" applyFont="1" applyFill="1" applyBorder="1" applyAlignment="1">
      <alignment horizontal="center" vertical="center" wrapText="1"/>
    </xf>
    <xf numFmtId="0" fontId="2" fillId="17" borderId="10" xfId="0" applyFont="1" applyFill="1" applyBorder="1" applyAlignment="1">
      <alignment horizontal="center" vertical="center" wrapText="1"/>
    </xf>
    <xf numFmtId="0" fontId="2" fillId="17" borderId="12" xfId="0" applyFont="1" applyFill="1" applyBorder="1" applyAlignment="1">
      <alignment horizontal="center" vertical="center" wrapText="1"/>
    </xf>
    <xf numFmtId="4" fontId="28" fillId="0" borderId="2" xfId="0" applyNumberFormat="1" applyFont="1" applyBorder="1" applyAlignment="1">
      <alignment horizontal="center" vertical="center" wrapText="1"/>
    </xf>
    <xf numFmtId="4" fontId="28" fillId="0" borderId="3" xfId="0" applyNumberFormat="1" applyFont="1" applyBorder="1" applyAlignment="1">
      <alignment horizontal="center" vertical="center" wrapText="1"/>
    </xf>
    <xf numFmtId="4" fontId="28" fillId="0" borderId="4" xfId="0" applyNumberFormat="1" applyFont="1" applyBorder="1" applyAlignment="1">
      <alignment horizontal="center" vertical="center" wrapText="1"/>
    </xf>
    <xf numFmtId="4" fontId="28" fillId="0" borderId="7" xfId="0" applyNumberFormat="1" applyFont="1" applyBorder="1" applyAlignment="1">
      <alignment horizontal="center" vertical="center" wrapText="1"/>
    </xf>
    <xf numFmtId="4" fontId="28" fillId="0" borderId="8" xfId="0" applyNumberFormat="1" applyFont="1" applyBorder="1" applyAlignment="1">
      <alignment horizontal="center" vertical="center" wrapText="1"/>
    </xf>
    <xf numFmtId="4" fontId="28" fillId="0" borderId="9" xfId="0" applyNumberFormat="1" applyFont="1" applyBorder="1" applyAlignment="1">
      <alignment horizontal="center" vertical="center" wrapText="1"/>
    </xf>
    <xf numFmtId="0" fontId="27" fillId="17" borderId="0" xfId="0" applyFont="1" applyFill="1" applyAlignment="1">
      <alignment horizontal="center" vertical="center" wrapText="1"/>
    </xf>
    <xf numFmtId="0" fontId="32" fillId="17" borderId="14" xfId="0" applyFont="1" applyFill="1" applyBorder="1" applyAlignment="1">
      <alignment horizontal="center" vertical="center"/>
    </xf>
    <xf numFmtId="0" fontId="32" fillId="17" borderId="15" xfId="0" applyFont="1" applyFill="1" applyBorder="1" applyAlignment="1">
      <alignment horizontal="center" vertical="center"/>
    </xf>
    <xf numFmtId="0" fontId="32" fillId="17" borderId="13" xfId="0" applyFont="1" applyFill="1" applyBorder="1" applyAlignment="1">
      <alignment horizontal="center" vertical="center"/>
    </xf>
    <xf numFmtId="0" fontId="32" fillId="17" borderId="2" xfId="0" applyFont="1" applyFill="1" applyBorder="1" applyAlignment="1">
      <alignment horizontal="center" vertical="center" wrapText="1"/>
    </xf>
    <xf numFmtId="0" fontId="32" fillId="17" borderId="3" xfId="0" applyFont="1" applyFill="1" applyBorder="1" applyAlignment="1">
      <alignment horizontal="center" vertical="center" wrapText="1"/>
    </xf>
    <xf numFmtId="0" fontId="32" fillId="17" borderId="4" xfId="0" applyFont="1" applyFill="1" applyBorder="1" applyAlignment="1">
      <alignment horizontal="center" vertical="center" wrapText="1"/>
    </xf>
    <xf numFmtId="0" fontId="1" fillId="22" borderId="2" xfId="0" applyFont="1" applyFill="1" applyBorder="1" applyAlignment="1">
      <alignment horizontal="center" vertical="center" wrapText="1"/>
    </xf>
    <xf numFmtId="0" fontId="1" fillId="22" borderId="5" xfId="0" applyFont="1" applyFill="1" applyBorder="1" applyAlignment="1">
      <alignment horizontal="center" vertical="center" wrapText="1"/>
    </xf>
    <xf numFmtId="0" fontId="1" fillId="22" borderId="3" xfId="0" applyFont="1" applyFill="1" applyBorder="1" applyAlignment="1">
      <alignment horizontal="center" vertical="center" wrapText="1"/>
    </xf>
    <xf numFmtId="0" fontId="1" fillId="22" borderId="0" xfId="0" applyFont="1" applyFill="1" applyAlignment="1">
      <alignment horizontal="center" vertical="center" wrapText="1"/>
    </xf>
    <xf numFmtId="0" fontId="1" fillId="22" borderId="14" xfId="0" applyFont="1" applyFill="1" applyBorder="1" applyAlignment="1">
      <alignment horizontal="center" vertical="center" wrapText="1"/>
    </xf>
    <xf numFmtId="0" fontId="1" fillId="22" borderId="15" xfId="0" applyFont="1" applyFill="1" applyBorder="1" applyAlignment="1">
      <alignment horizontal="center" vertical="center" wrapText="1"/>
    </xf>
    <xf numFmtId="0" fontId="1" fillId="22" borderId="14" xfId="0" applyFont="1" applyFill="1" applyBorder="1" applyAlignment="1">
      <alignment horizontal="center" vertical="center"/>
    </xf>
    <xf numFmtId="0" fontId="1" fillId="22" borderId="15" xfId="0" applyFont="1" applyFill="1" applyBorder="1" applyAlignment="1">
      <alignment horizontal="center" vertical="center"/>
    </xf>
    <xf numFmtId="0" fontId="1" fillId="22" borderId="13" xfId="0" applyFont="1" applyFill="1" applyBorder="1" applyAlignment="1">
      <alignment horizontal="center" vertical="center"/>
    </xf>
    <xf numFmtId="0" fontId="0" fillId="22" borderId="14" xfId="0" applyFill="1" applyBorder="1" applyAlignment="1">
      <alignment horizontal="center" vertical="center" wrapText="1"/>
    </xf>
    <xf numFmtId="0" fontId="0" fillId="22" borderId="15" xfId="0" applyFill="1" applyBorder="1" applyAlignment="1">
      <alignment horizontal="center" vertical="center" wrapText="1"/>
    </xf>
    <xf numFmtId="0" fontId="0" fillId="22" borderId="13" xfId="0" applyFill="1" applyBorder="1" applyAlignment="1">
      <alignment horizontal="center" vertical="center" wrapText="1"/>
    </xf>
    <xf numFmtId="169" fontId="28" fillId="0" borderId="2" xfId="0" applyNumberFormat="1" applyFont="1" applyBorder="1" applyAlignment="1">
      <alignment horizontal="center" vertical="center" wrapText="1"/>
    </xf>
    <xf numFmtId="169" fontId="28" fillId="0" borderId="3" xfId="0" applyNumberFormat="1" applyFont="1" applyBorder="1" applyAlignment="1">
      <alignment horizontal="center" vertical="center" wrapText="1"/>
    </xf>
    <xf numFmtId="169" fontId="28" fillId="0" borderId="4" xfId="0" applyNumberFormat="1" applyFont="1" applyBorder="1" applyAlignment="1">
      <alignment horizontal="center" vertical="center" wrapText="1"/>
    </xf>
    <xf numFmtId="169" fontId="28" fillId="0" borderId="7" xfId="0" applyNumberFormat="1" applyFont="1" applyBorder="1" applyAlignment="1">
      <alignment horizontal="center" vertical="center" wrapText="1"/>
    </xf>
    <xf numFmtId="169" fontId="28" fillId="0" borderId="8" xfId="0" applyNumberFormat="1" applyFont="1" applyBorder="1" applyAlignment="1">
      <alignment horizontal="center" vertical="center" wrapText="1"/>
    </xf>
    <xf numFmtId="169" fontId="28" fillId="0" borderId="9" xfId="0" applyNumberFormat="1" applyFont="1" applyBorder="1" applyAlignment="1">
      <alignment horizontal="center" vertical="center" wrapText="1"/>
    </xf>
    <xf numFmtId="0" fontId="2" fillId="17" borderId="5" xfId="0" applyFont="1" applyFill="1" applyBorder="1" applyAlignment="1">
      <alignment horizontal="center" vertical="center" wrapText="1"/>
    </xf>
    <xf numFmtId="0" fontId="2" fillId="17" borderId="0" xfId="0" applyFont="1" applyFill="1" applyAlignment="1">
      <alignment horizontal="center" vertical="center" wrapText="1"/>
    </xf>
    <xf numFmtId="0" fontId="3" fillId="12" borderId="31" xfId="4" applyFont="1" applyFill="1" applyBorder="1" applyAlignment="1">
      <alignment horizontal="center" vertical="center"/>
    </xf>
    <xf numFmtId="0" fontId="3" fillId="12" borderId="0" xfId="4" applyFont="1" applyFill="1" applyBorder="1" applyAlignment="1">
      <alignment horizontal="center" vertical="center"/>
    </xf>
    <xf numFmtId="0" fontId="32" fillId="25" borderId="1" xfId="5" applyFont="1" applyFill="1" applyBorder="1" applyAlignment="1">
      <alignment horizontal="center" vertical="center" wrapText="1"/>
    </xf>
    <xf numFmtId="0" fontId="32" fillId="25" borderId="7" xfId="5" applyFont="1" applyFill="1" applyBorder="1" applyAlignment="1">
      <alignment horizontal="center" vertical="center" wrapText="1"/>
    </xf>
    <xf numFmtId="0" fontId="32" fillId="25" borderId="8" xfId="5" applyFont="1" applyFill="1" applyBorder="1" applyAlignment="1">
      <alignment horizontal="center" vertical="center" wrapText="1"/>
    </xf>
    <xf numFmtId="0" fontId="32" fillId="28" borderId="14" xfId="5" applyFont="1" applyFill="1" applyBorder="1" applyAlignment="1">
      <alignment horizontal="center" vertical="center" wrapText="1"/>
    </xf>
    <xf numFmtId="0" fontId="32" fillId="28" borderId="15" xfId="5" applyFont="1" applyFill="1" applyBorder="1" applyAlignment="1">
      <alignment horizontal="center" vertical="center" wrapText="1"/>
    </xf>
    <xf numFmtId="0" fontId="32" fillId="28" borderId="13" xfId="5" applyFont="1" applyFill="1" applyBorder="1" applyAlignment="1">
      <alignment horizontal="center" vertical="center" wrapText="1"/>
    </xf>
    <xf numFmtId="0" fontId="0" fillId="29" borderId="14" xfId="5" applyFont="1" applyFill="1" applyBorder="1" applyAlignment="1">
      <alignment horizontal="center" vertical="center" wrapText="1"/>
    </xf>
    <xf numFmtId="0" fontId="0" fillId="29" borderId="13" xfId="5" applyFont="1" applyFill="1" applyBorder="1" applyAlignment="1">
      <alignment horizontal="center" vertical="center" wrapText="1"/>
    </xf>
    <xf numFmtId="0" fontId="1" fillId="22" borderId="13" xfId="0" applyFont="1" applyFill="1" applyBorder="1" applyAlignment="1">
      <alignment horizontal="center" vertical="center" wrapText="1"/>
    </xf>
    <xf numFmtId="4" fontId="28" fillId="0" borderId="5" xfId="0" applyNumberFormat="1" applyFont="1" applyBorder="1" applyAlignment="1">
      <alignment horizontal="center" vertical="center" wrapText="1"/>
    </xf>
    <xf numFmtId="4" fontId="28" fillId="0" borderId="6" xfId="0" applyNumberFormat="1" applyFont="1" applyBorder="1" applyAlignment="1">
      <alignment horizontal="center" vertical="center" wrapText="1"/>
    </xf>
    <xf numFmtId="174" fontId="28" fillId="0" borderId="10" xfId="0" applyNumberFormat="1" applyFont="1" applyBorder="1" applyAlignment="1">
      <alignment horizontal="center" vertical="center" wrapText="1"/>
    </xf>
    <xf numFmtId="174" fontId="28" fillId="0" borderId="11" xfId="0" applyNumberFormat="1" applyFont="1" applyBorder="1" applyAlignment="1">
      <alignment horizontal="center" vertical="center" wrapText="1"/>
    </xf>
    <xf numFmtId="174" fontId="28" fillId="0" borderId="12" xfId="0" applyNumberFormat="1" applyFont="1" applyBorder="1" applyAlignment="1">
      <alignment horizontal="center" vertical="center" wrapText="1"/>
    </xf>
    <xf numFmtId="4" fontId="28" fillId="13" borderId="14" xfId="0" applyNumberFormat="1" applyFont="1" applyFill="1" applyBorder="1" applyAlignment="1">
      <alignment horizontal="center" vertical="center" wrapText="1"/>
    </xf>
    <xf numFmtId="4" fontId="28" fillId="13" borderId="13" xfId="0" applyNumberFormat="1" applyFont="1" applyFill="1" applyBorder="1" applyAlignment="1">
      <alignment horizontal="center" vertical="center" wrapText="1"/>
    </xf>
    <xf numFmtId="0" fontId="2" fillId="17" borderId="2" xfId="0" applyFont="1" applyFill="1" applyBorder="1" applyAlignment="1">
      <alignment horizontal="center" vertical="center" wrapText="1"/>
    </xf>
    <xf numFmtId="0" fontId="2" fillId="17" borderId="4" xfId="0" applyFont="1" applyFill="1" applyBorder="1" applyAlignment="1">
      <alignment horizontal="center" vertical="center" wrapText="1"/>
    </xf>
    <xf numFmtId="0" fontId="2" fillId="17" borderId="9" xfId="0" applyFont="1" applyFill="1" applyBorder="1" applyAlignment="1">
      <alignment horizontal="center" vertical="center" wrapText="1"/>
    </xf>
    <xf numFmtId="4" fontId="28" fillId="0" borderId="15" xfId="0" applyNumberFormat="1" applyFont="1" applyBorder="1" applyAlignment="1">
      <alignment horizontal="center" vertical="center" wrapText="1"/>
    </xf>
  </cellXfs>
  <cellStyles count="6">
    <cellStyle name="Hipervínculo" xfId="1" builtinId="8"/>
    <cellStyle name="Millares" xfId="2" builtinId="3"/>
    <cellStyle name="Normal" xfId="0" builtinId="0"/>
    <cellStyle name="Normal 2" xfId="5" xr:uid="{CFF67F06-9FCD-4659-B34B-29262DF47A7D}"/>
    <cellStyle name="Notas 2" xfId="4" xr:uid="{94D00042-D05B-4B8C-9038-0DAC5F7E6851}"/>
    <cellStyle name="Porcentaje" xfId="3" builtinId="5"/>
  </cellStyles>
  <dxfs count="0"/>
  <tableStyles count="0" defaultTableStyle="TableStyleMedium2" defaultPivotStyle="PivotStyleLight16"/>
  <colors>
    <mruColors>
      <color rgb="FFFFCC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3.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externalLink" Target="externalLinks/externalLink6.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2.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openxmlformats.org/officeDocument/2006/relationships/externalLink" Target="externalLinks/externalLink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externalLink" Target="externalLinks/externalLink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9.1178500245347377E-2"/>
          <c:y val="5.1734283535721654E-2"/>
          <c:w val="0.81569847426649866"/>
          <c:h val="0.68776786008561153"/>
        </c:manualLayout>
      </c:layout>
      <c:barChart>
        <c:barDir val="col"/>
        <c:grouping val="stacked"/>
        <c:varyColors val="0"/>
        <c:ser>
          <c:idx val="0"/>
          <c:order val="0"/>
          <c:tx>
            <c:v>Alcance 1</c:v>
          </c:tx>
          <c:spPr>
            <a:solidFill>
              <a:schemeClr val="accent1"/>
            </a:solidFill>
            <a:ln>
              <a:noFill/>
            </a:ln>
            <a:effectLst/>
          </c:spPr>
          <c:invertIfNegative val="0"/>
          <c:dLbls>
            <c:dLbl>
              <c:idx val="0"/>
              <c:layout>
                <c:manualLayout>
                  <c:x val="5.9606074250082082E-2"/>
                  <c:y val="-4.7556281173703994E-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14A-4DF5-B55F-48240581906B}"/>
                </c:ext>
              </c:extLst>
            </c:dLbl>
            <c:dLbl>
              <c:idx val="1"/>
              <c:layout>
                <c:manualLayout>
                  <c:x val="6.0930653677861657E-2"/>
                  <c:y val="-1.7437101662138433E-16"/>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14A-4DF5-B55F-48240581906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extLst>
                <c:ext xmlns:c15="http://schemas.microsoft.com/office/drawing/2012/chart" uri="{02D57815-91ED-43cb-92C2-25804820EDAC}">
                  <c15:fullRef>
                    <c15:sqref>'3. Emisiones netas'!$B$6:$H$12</c15:sqref>
                  </c15:fullRef>
                </c:ext>
              </c:extLst>
              <c:f>'3. Emisiones netas'!$B$6:$H$10</c:f>
              <c:multiLvlStrCache>
                <c:ptCount val="5"/>
                <c:lvl/>
                <c:lvl/>
                <c:lvl/>
                <c:lvl/>
                <c:lvl/>
                <c:lvl/>
                <c:lvl>
                  <c:pt idx="0">
                    <c:v>Edificios residenciales</c:v>
                  </c:pt>
                  <c:pt idx="1">
                    <c:v>Edificios e instalaciones comerciales e institucionales</c:v>
                  </c:pt>
                  <c:pt idx="2">
                    <c:v>Construcción e industrias manufactureras</c:v>
                  </c:pt>
                  <c:pt idx="3">
                    <c:v>Industrias energéticas</c:v>
                  </c:pt>
                  <c:pt idx="4">
                    <c:v>Actividades agrícolas, de silvicultura y de pesca</c:v>
                  </c:pt>
                </c:lvl>
              </c:multiLvlStrCache>
            </c:multiLvlStrRef>
          </c:cat>
          <c:val>
            <c:numRef>
              <c:extLst>
                <c:ext xmlns:c15="http://schemas.microsoft.com/office/drawing/2012/chart" uri="{02D57815-91ED-43cb-92C2-25804820EDAC}">
                  <c15:fullRef>
                    <c15:sqref>'3. Emisiones netas'!$I$6:$I$13</c15:sqref>
                  </c15:fullRef>
                </c:ext>
              </c:extLst>
              <c:f>'3. Emisiones netas'!$I$6:$I$10</c:f>
              <c:numCache>
                <c:formatCode>0.00</c:formatCode>
                <c:ptCount val="5"/>
                <c:pt idx="0">
                  <c:v>1031.7355714085106</c:v>
                </c:pt>
                <c:pt idx="1">
                  <c:v>2167.9197256259777</c:v>
                </c:pt>
                <c:pt idx="2" formatCode="#,##0.00">
                  <c:v>102830.88602650662</c:v>
                </c:pt>
                <c:pt idx="3">
                  <c:v>0</c:v>
                </c:pt>
                <c:pt idx="4">
                  <c:v>21.23222099468417</c:v>
                </c:pt>
              </c:numCache>
            </c:numRef>
          </c:val>
          <c:extLst>
            <c:ext xmlns:c16="http://schemas.microsoft.com/office/drawing/2014/chart" uri="{C3380CC4-5D6E-409C-BE32-E72D297353CC}">
              <c16:uniqueId val="{00000000-6B01-4AA3-92DC-4FB7A1991426}"/>
            </c:ext>
          </c:extLst>
        </c:ser>
        <c:ser>
          <c:idx val="1"/>
          <c:order val="1"/>
          <c:tx>
            <c:v>Alcance 2</c:v>
          </c:tx>
          <c:spPr>
            <a:solidFill>
              <a:schemeClr val="accent2"/>
            </a:solidFill>
            <a:ln>
              <a:noFill/>
            </a:ln>
            <a:effectLst/>
          </c:spPr>
          <c:invertIfNegative val="0"/>
          <c:dLbls>
            <c:dLbl>
              <c:idx val="0"/>
              <c:layout>
                <c:manualLayout>
                  <c:x val="3.1789906266710431E-2"/>
                  <c:y val="-7.1334421760556085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114A-4DF5-B55F-48240581906B}"/>
                </c:ext>
              </c:extLst>
            </c:dLbl>
            <c:dLbl>
              <c:idx val="1"/>
              <c:layout>
                <c:manualLayout>
                  <c:x val="4.6360279972285992E-2"/>
                  <c:y val="-5.7067537408444884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114A-4DF5-B55F-48240581906B}"/>
                </c:ext>
              </c:extLst>
            </c:dLbl>
            <c:dLbl>
              <c:idx val="4"/>
              <c:layout>
                <c:manualLayout>
                  <c:x val="3.7088223977828835E-2"/>
                  <c:y val="-3.3289396821592883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F15B-4BFB-AD36-491CEC436E9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Edificios residenciales</c:v>
              </c:pt>
              <c:pt idx="1">
                <c:v>Edificios e instalaciones comerciales e institucionales</c:v>
              </c:pt>
              <c:pt idx="2">
                <c:v>Construcción e industrias manufactureras</c:v>
              </c:pt>
              <c:pt idx="3">
                <c:v>Industrias energéticas</c:v>
              </c:pt>
              <c:pt idx="4">
                <c:v>Actividades agrícolas, de silvicultura y de pesca</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'3. Emisiones netas'!$J$6:$J$13</c15:sqref>
                  </c15:fullRef>
                </c:ext>
              </c:extLst>
              <c:f>'3. Emisiones netas'!$J$6:$J$10</c:f>
              <c:numCache>
                <c:formatCode>#,##0.00</c:formatCode>
                <c:ptCount val="5"/>
                <c:pt idx="0">
                  <c:v>1228.1430825689931</c:v>
                </c:pt>
                <c:pt idx="1">
                  <c:v>2647.1468000000004</c:v>
                </c:pt>
                <c:pt idx="2">
                  <c:v>9773.9948000000004</c:v>
                </c:pt>
                <c:pt idx="3" formatCode="0.00">
                  <c:v>0</c:v>
                </c:pt>
                <c:pt idx="4" formatCode="0.00">
                  <c:v>2.2767016667066358</c:v>
                </c:pt>
              </c:numCache>
            </c:numRef>
          </c:val>
          <c:extLst>
            <c:ext xmlns:c16="http://schemas.microsoft.com/office/drawing/2014/chart" uri="{C3380CC4-5D6E-409C-BE32-E72D297353CC}">
              <c16:uniqueId val="{00000001-6B01-4AA3-92DC-4FB7A1991426}"/>
            </c:ext>
          </c:extLst>
        </c:ser>
        <c:ser>
          <c:idx val="2"/>
          <c:order val="2"/>
          <c:tx>
            <c:v>Alcance 3</c:v>
          </c:tx>
          <c:spPr>
            <a:solidFill>
              <a:srgbClr val="92D050"/>
            </a:solidFill>
            <a:ln>
              <a:noFill/>
            </a:ln>
            <a:effectLst/>
          </c:spPr>
          <c:invertIfNegative val="0"/>
          <c:dLbls>
            <c:dLbl>
              <c:idx val="0"/>
              <c:layout>
                <c:manualLayout>
                  <c:x val="0"/>
                  <c:y val="-0.13728300106346331"/>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B8B0-4F59-BCA1-BE42DA26E663}"/>
                </c:ext>
              </c:extLst>
            </c:dLbl>
            <c:dLbl>
              <c:idx val="1"/>
              <c:layout>
                <c:manualLayout>
                  <c:x val="1.3717219396974264E-3"/>
                  <c:y val="-0.10404602848883364"/>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8B0-4F59-BCA1-BE42DA26E663}"/>
                </c:ext>
              </c:extLst>
            </c:dLbl>
            <c:dLbl>
              <c:idx val="2"/>
              <c:layout>
                <c:manualLayout>
                  <c:x val="-1.3245794277796012E-3"/>
                  <c:y val="-5.2311909291074397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114A-4DF5-B55F-48240581906B}"/>
                </c:ext>
              </c:extLst>
            </c:dLbl>
            <c:dLbl>
              <c:idx val="4"/>
              <c:layout>
                <c:manualLayout>
                  <c:x val="-1.3245794277795041E-3"/>
                  <c:y val="-0.1188907029342600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F15B-4BFB-AD36-491CEC436E9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Edificios residenciales</c:v>
              </c:pt>
              <c:pt idx="1">
                <c:v>Edificios e instalaciones comerciales e institucionales</c:v>
              </c:pt>
              <c:pt idx="2">
                <c:v>Construcción e industrias manufactureras</c:v>
              </c:pt>
              <c:pt idx="3">
                <c:v>Industrias energéticas</c:v>
              </c:pt>
              <c:pt idx="4">
                <c:v>Actividades agrícolas, de silvicultura y de pesca</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'3. Emisiones netas'!$K$6:$K$13</c15:sqref>
                  </c15:fullRef>
                </c:ext>
              </c:extLst>
              <c:f>'3. Emisiones netas'!$K$6:$K$10</c:f>
              <c:numCache>
                <c:formatCode>0.00</c:formatCode>
                <c:ptCount val="5"/>
                <c:pt idx="0">
                  <c:v>122.44102032416269</c:v>
                </c:pt>
                <c:pt idx="1">
                  <c:v>263.3911066</c:v>
                </c:pt>
                <c:pt idx="2">
                  <c:v>895.06438132000005</c:v>
                </c:pt>
                <c:pt idx="3">
                  <c:v>0</c:v>
                </c:pt>
                <c:pt idx="4">
                  <c:v>0.2265318158373103</c:v>
                </c:pt>
              </c:numCache>
            </c:numRef>
          </c:val>
          <c:extLst>
            <c:ext xmlns:c16="http://schemas.microsoft.com/office/drawing/2014/chart" uri="{C3380CC4-5D6E-409C-BE32-E72D297353CC}">
              <c16:uniqueId val="{00000002-6B01-4AA3-92DC-4FB7A1991426}"/>
            </c:ext>
          </c:extLst>
        </c:ser>
        <c:dLbls>
          <c:dLblPos val="ctr"/>
          <c:showLegendKey val="0"/>
          <c:showVal val="1"/>
          <c:showCatName val="0"/>
          <c:showSerName val="0"/>
          <c:showPercent val="0"/>
          <c:showBubbleSize val="0"/>
        </c:dLbls>
        <c:gapWidth val="219"/>
        <c:overlap val="100"/>
        <c:axId val="492473008"/>
        <c:axId val="492474968"/>
      </c:barChart>
      <c:catAx>
        <c:axId val="492473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2474968"/>
        <c:crosses val="autoZero"/>
        <c:auto val="1"/>
        <c:lblAlgn val="ctr"/>
        <c:lblOffset val="100"/>
        <c:noMultiLvlLbl val="0"/>
      </c:catAx>
      <c:valAx>
        <c:axId val="492474968"/>
        <c:scaling>
          <c:orientation val="minMax"/>
          <c:max val="115000"/>
          <c:min val="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r>
                  <a:rPr lang="en-US" sz="1100" b="0" i="0" baseline="0">
                    <a:effectLst/>
                  </a:rPr>
                  <a:t>Emisiones Gei, tonCO2eq</a:t>
                </a:r>
                <a:endParaRPr lang="en-US" sz="1100">
                  <a:effectLst/>
                </a:endParaRPr>
              </a:p>
            </c:rich>
          </c:tx>
          <c:layout>
            <c:manualLayout>
              <c:xMode val="edge"/>
              <c:yMode val="edge"/>
              <c:x val="6.8587098215968567E-3"/>
              <c:y val="0.1163469596572576"/>
            </c:manualLayout>
          </c:layout>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endParaRPr lang="en-US"/>
            </a:p>
          </c:txPr>
        </c:title>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2473008"/>
        <c:crosses val="autoZero"/>
        <c:crossBetween val="between"/>
        <c:majorUnit val="10000"/>
        <c:minorUnit val="100"/>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Distribución de refrigerante</a:t>
            </a:r>
            <a:r>
              <a:rPr lang="en-US" baseline="0"/>
              <a:t> A/A</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7B9-44AB-A6C7-A7F36EF2B3C8}"/>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07B9-44AB-A6C7-A7F36EF2B3C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7B9-44AB-A6C7-A7F36EF2B3C8}"/>
              </c:ext>
            </c:extLst>
          </c:dPt>
          <c:dPt>
            <c:idx val="3"/>
            <c:bubble3D val="0"/>
            <c:spPr>
              <a:solidFill>
                <a:srgbClr val="FFC000"/>
              </a:solidFill>
              <a:ln w="19050">
                <a:solidFill>
                  <a:schemeClr val="lt1"/>
                </a:solidFill>
              </a:ln>
              <a:effectLst/>
            </c:spPr>
            <c:extLst>
              <c:ext xmlns:c16="http://schemas.microsoft.com/office/drawing/2014/chart" uri="{C3380CC4-5D6E-409C-BE32-E72D297353CC}">
                <c16:uniqueId val="{00000007-07B9-44AB-A6C7-A7F36EF2B3C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07B9-44AB-A6C7-A7F36EF2B3C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[3]Refrigerantes!$A$205:$A$209</c:f>
              <c:strCache>
                <c:ptCount val="5"/>
                <c:pt idx="0">
                  <c:v>Equipos R134a</c:v>
                </c:pt>
                <c:pt idx="1">
                  <c:v>Equipos R51</c:v>
                </c:pt>
                <c:pt idx="2">
                  <c:v>Equipos R410a</c:v>
                </c:pt>
                <c:pt idx="3">
                  <c:v>Equipos R22</c:v>
                </c:pt>
                <c:pt idx="4">
                  <c:v>Equipos Freón</c:v>
                </c:pt>
              </c:strCache>
            </c:strRef>
          </c:cat>
          <c:val>
            <c:numRef>
              <c:f>[3]Refrigerantes!$B$205:$B$209</c:f>
              <c:numCache>
                <c:formatCode>General</c:formatCode>
                <c:ptCount val="5"/>
                <c:pt idx="0">
                  <c:v>37</c:v>
                </c:pt>
                <c:pt idx="1">
                  <c:v>1</c:v>
                </c:pt>
                <c:pt idx="2">
                  <c:v>29</c:v>
                </c:pt>
                <c:pt idx="3">
                  <c:v>26</c:v>
                </c:pt>
                <c:pt idx="4">
                  <c:v>2</c:v>
                </c:pt>
              </c:numCache>
            </c:numRef>
          </c:val>
          <c:extLst>
            <c:ext xmlns:c16="http://schemas.microsoft.com/office/drawing/2014/chart" uri="{C3380CC4-5D6E-409C-BE32-E72D297353CC}">
              <c16:uniqueId val="{0000000A-07B9-44AB-A6C7-A7F36EF2B3C8}"/>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Distribución de equipos refrigerados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C11-40BF-ABA5-9D5E7A216E6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C11-40BF-ABA5-9D5E7A216E67}"/>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FC11-40BF-ABA5-9D5E7A216E6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[3]Refrigerantes!$A$272:$A$274</c:f>
              <c:strCache>
                <c:ptCount val="3"/>
                <c:pt idx="0">
                  <c:v>Refrigeradores</c:v>
                </c:pt>
                <c:pt idx="1">
                  <c:v>Enfriadores</c:v>
                </c:pt>
                <c:pt idx="2">
                  <c:v>Congeladores</c:v>
                </c:pt>
              </c:strCache>
            </c:strRef>
          </c:cat>
          <c:val>
            <c:numRef>
              <c:f>[3]Refrigerantes!$B$272:$B$274</c:f>
              <c:numCache>
                <c:formatCode>General</c:formatCode>
                <c:ptCount val="3"/>
                <c:pt idx="0">
                  <c:v>97</c:v>
                </c:pt>
                <c:pt idx="1">
                  <c:v>25</c:v>
                </c:pt>
                <c:pt idx="2">
                  <c:v>36</c:v>
                </c:pt>
              </c:numCache>
            </c:numRef>
          </c:val>
          <c:extLst>
            <c:ext xmlns:c16="http://schemas.microsoft.com/office/drawing/2014/chart" uri="{C3380CC4-5D6E-409C-BE32-E72D297353CC}">
              <c16:uniqueId val="{00000006-FC11-40BF-ABA5-9D5E7A216E67}"/>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Distribución</a:t>
            </a:r>
            <a:r>
              <a:rPr lang="en-US" baseline="0"/>
              <a:t> de gases en equipos refrigerados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965-4EFA-B4D7-A2689897A528}"/>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6965-4EFA-B4D7-A2689897A52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[3]Refrigerantes!$A$337:$A$338</c:f>
              <c:strCache>
                <c:ptCount val="2"/>
                <c:pt idx="0">
                  <c:v>Equipos R134a</c:v>
                </c:pt>
                <c:pt idx="1">
                  <c:v>Equipos Freón</c:v>
                </c:pt>
              </c:strCache>
            </c:strRef>
          </c:cat>
          <c:val>
            <c:numRef>
              <c:f>[3]Refrigerantes!$B$337:$B$338</c:f>
              <c:numCache>
                <c:formatCode>General</c:formatCode>
                <c:ptCount val="2"/>
                <c:pt idx="0">
                  <c:v>9</c:v>
                </c:pt>
                <c:pt idx="1">
                  <c:v>1</c:v>
                </c:pt>
              </c:numCache>
            </c:numRef>
          </c:val>
          <c:extLst>
            <c:ext xmlns:c16="http://schemas.microsoft.com/office/drawing/2014/chart" uri="{C3380CC4-5D6E-409C-BE32-E72D297353CC}">
              <c16:uniqueId val="{00000004-6965-4EFA-B4D7-A2689897A528}"/>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Distribución de refrigerantes de A/A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237-4568-AE2A-D1C8911450A1}"/>
              </c:ext>
            </c:extLst>
          </c:dPt>
          <c:dPt>
            <c:idx val="1"/>
            <c:bubble3D val="0"/>
            <c:spPr>
              <a:solidFill>
                <a:srgbClr val="FFD243"/>
              </a:solidFill>
              <a:ln w="19050">
                <a:solidFill>
                  <a:schemeClr val="lt1"/>
                </a:solidFill>
              </a:ln>
              <a:effectLst/>
            </c:spPr>
            <c:extLst>
              <c:ext xmlns:c16="http://schemas.microsoft.com/office/drawing/2014/chart" uri="{C3380CC4-5D6E-409C-BE32-E72D297353CC}">
                <c16:uniqueId val="{00000003-A237-4568-AE2A-D1C8911450A1}"/>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A237-4568-AE2A-D1C8911450A1}"/>
              </c:ext>
            </c:extLst>
          </c:dPt>
          <c:dPt>
            <c:idx val="3"/>
            <c:bubble3D val="0"/>
            <c:spPr>
              <a:solidFill>
                <a:schemeClr val="bg1">
                  <a:lumMod val="65000"/>
                </a:schemeClr>
              </a:solidFill>
              <a:ln w="19050">
                <a:solidFill>
                  <a:schemeClr val="lt1"/>
                </a:solidFill>
              </a:ln>
              <a:effectLst/>
            </c:spPr>
            <c:extLst>
              <c:ext xmlns:c16="http://schemas.microsoft.com/office/drawing/2014/chart" uri="{C3380CC4-5D6E-409C-BE32-E72D297353CC}">
                <c16:uniqueId val="{00000007-A237-4568-AE2A-D1C8911450A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237-4568-AE2A-D1C8911450A1}"/>
              </c:ext>
            </c:extLst>
          </c:dPt>
          <c:dPt>
            <c:idx val="5"/>
            <c:bubble3D val="0"/>
            <c:spPr>
              <a:solidFill>
                <a:schemeClr val="accent2"/>
              </a:solidFill>
              <a:ln w="19050">
                <a:solidFill>
                  <a:schemeClr val="lt1"/>
                </a:solidFill>
              </a:ln>
              <a:effectLst/>
            </c:spPr>
            <c:extLst>
              <c:ext xmlns:c16="http://schemas.microsoft.com/office/drawing/2014/chart" uri="{C3380CC4-5D6E-409C-BE32-E72D297353CC}">
                <c16:uniqueId val="{0000000B-A237-4568-AE2A-D1C8911450A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A237-4568-AE2A-D1C8911450A1}"/>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A237-4568-AE2A-D1C8911450A1}"/>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A237-4568-AE2A-D1C8911450A1}"/>
              </c:ext>
            </c:extLst>
          </c:dPt>
          <c:dLbls>
            <c:dLbl>
              <c:idx val="7"/>
              <c:layout>
                <c:manualLayout>
                  <c:x val="1.5853674540682414E-2"/>
                  <c:y val="1.3554243219597551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F-A237-4568-AE2A-D1C8911450A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[4]Refrigerantes!$A$92:$A$100</c:f>
              <c:strCache>
                <c:ptCount val="9"/>
                <c:pt idx="0">
                  <c:v>Equipos R123</c:v>
                </c:pt>
                <c:pt idx="1">
                  <c:v>Equipos R134a</c:v>
                </c:pt>
                <c:pt idx="2">
                  <c:v>Equipos R22</c:v>
                </c:pt>
                <c:pt idx="3">
                  <c:v>Equipos R404a</c:v>
                </c:pt>
                <c:pt idx="4">
                  <c:v>Equipos R407</c:v>
                </c:pt>
                <c:pt idx="5">
                  <c:v>Equipos R410a</c:v>
                </c:pt>
                <c:pt idx="6">
                  <c:v>Equipos R502</c:v>
                </c:pt>
                <c:pt idx="7">
                  <c:v>Equipos R507</c:v>
                </c:pt>
                <c:pt idx="8">
                  <c:v>Equipos R514</c:v>
                </c:pt>
              </c:strCache>
            </c:strRef>
          </c:cat>
          <c:val>
            <c:numRef>
              <c:f>[4]Refrigerantes!$B$92:$B$100</c:f>
              <c:numCache>
                <c:formatCode>General</c:formatCode>
                <c:ptCount val="9"/>
                <c:pt idx="0">
                  <c:v>1</c:v>
                </c:pt>
                <c:pt idx="1">
                  <c:v>6</c:v>
                </c:pt>
                <c:pt idx="2">
                  <c:v>5</c:v>
                </c:pt>
                <c:pt idx="3">
                  <c:v>2</c:v>
                </c:pt>
                <c:pt idx="4">
                  <c:v>1</c:v>
                </c:pt>
                <c:pt idx="5">
                  <c:v>11</c:v>
                </c:pt>
                <c:pt idx="6">
                  <c:v>1</c:v>
                </c:pt>
                <c:pt idx="7">
                  <c:v>2</c:v>
                </c:pt>
                <c:pt idx="8">
                  <c:v>1</c:v>
                </c:pt>
              </c:numCache>
            </c:numRef>
          </c:val>
          <c:extLst>
            <c:ext xmlns:c16="http://schemas.microsoft.com/office/drawing/2014/chart" uri="{C3380CC4-5D6E-409C-BE32-E72D297353CC}">
              <c16:uniqueId val="{00000012-A237-4568-AE2A-D1C8911450A1}"/>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Distribución de refrigerantes en equipos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6A8-4955-83FF-CED0E1805BD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6A8-4955-83FF-CED0E1805BD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6A8-4955-83FF-CED0E1805BD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6A8-4955-83FF-CED0E1805BD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66A8-4955-83FF-CED0E1805BD4}"/>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66A8-4955-83FF-CED0E1805BD4}"/>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66A8-4955-83FF-CED0E1805BD4}"/>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66A8-4955-83FF-CED0E1805BD4}"/>
              </c:ext>
            </c:extLst>
          </c:dPt>
          <c:dLbls>
            <c:dLbl>
              <c:idx val="6"/>
              <c:layout>
                <c:manualLayout>
                  <c:x val="-2.6990376202974626E-4"/>
                  <c:y val="-4.0649606299212595E-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D-66A8-4955-83FF-CED0E1805BD4}"/>
                </c:ext>
              </c:extLst>
            </c:dLbl>
            <c:dLbl>
              <c:idx val="7"/>
              <c:layout>
                <c:manualLayout>
                  <c:x val="-6.4160104986876638E-3"/>
                  <c:y val="1.451079031787693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F-66A8-4955-83FF-CED0E1805BD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[4]Refrigerantes!$A$279:$A$286</c:f>
              <c:strCache>
                <c:ptCount val="8"/>
                <c:pt idx="0">
                  <c:v>Equipos R134a</c:v>
                </c:pt>
                <c:pt idx="1">
                  <c:v>Equipos R170</c:v>
                </c:pt>
                <c:pt idx="2">
                  <c:v>Equipos R23</c:v>
                </c:pt>
                <c:pt idx="3">
                  <c:v>Equipos R290</c:v>
                </c:pt>
                <c:pt idx="4">
                  <c:v>Equipos R404a</c:v>
                </c:pt>
                <c:pt idx="5">
                  <c:v>Equipos R410</c:v>
                </c:pt>
                <c:pt idx="6">
                  <c:v>Equipos R507</c:v>
                </c:pt>
                <c:pt idx="7">
                  <c:v>Equipos R600a</c:v>
                </c:pt>
              </c:strCache>
            </c:strRef>
          </c:cat>
          <c:val>
            <c:numRef>
              <c:f>[4]Refrigerantes!$B$279:$B$286</c:f>
              <c:numCache>
                <c:formatCode>General</c:formatCode>
                <c:ptCount val="8"/>
                <c:pt idx="0">
                  <c:v>11</c:v>
                </c:pt>
                <c:pt idx="1">
                  <c:v>1</c:v>
                </c:pt>
                <c:pt idx="2">
                  <c:v>1</c:v>
                </c:pt>
                <c:pt idx="3">
                  <c:v>1</c:v>
                </c:pt>
                <c:pt idx="4">
                  <c:v>1</c:v>
                </c:pt>
                <c:pt idx="5">
                  <c:v>1</c:v>
                </c:pt>
                <c:pt idx="6">
                  <c:v>3</c:v>
                </c:pt>
                <c:pt idx="7">
                  <c:v>3</c:v>
                </c:pt>
              </c:numCache>
            </c:numRef>
          </c:val>
          <c:extLst>
            <c:ext xmlns:c16="http://schemas.microsoft.com/office/drawing/2014/chart" uri="{C3380CC4-5D6E-409C-BE32-E72D297353CC}">
              <c16:uniqueId val="{00000010-66A8-4955-83FF-CED0E1805BD4}"/>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Distribución de equipos refrigerados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DBC-4216-B21E-F0E10DF3E436}"/>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5DBC-4216-B21E-F0E10DF3E43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DBC-4216-B21E-F0E10DF3E43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[4]Refrigerantes!$A$229:$A$231</c:f>
              <c:strCache>
                <c:ptCount val="3"/>
                <c:pt idx="0">
                  <c:v>Refrigeradores</c:v>
                </c:pt>
                <c:pt idx="1">
                  <c:v>Enfriadores</c:v>
                </c:pt>
                <c:pt idx="2">
                  <c:v>Congeladores</c:v>
                </c:pt>
              </c:strCache>
            </c:strRef>
          </c:cat>
          <c:val>
            <c:numRef>
              <c:f>[4]Refrigerantes!$B$229:$B$231</c:f>
              <c:numCache>
                <c:formatCode>General</c:formatCode>
                <c:ptCount val="3"/>
                <c:pt idx="0">
                  <c:v>36</c:v>
                </c:pt>
                <c:pt idx="1">
                  <c:v>13</c:v>
                </c:pt>
                <c:pt idx="2">
                  <c:v>9</c:v>
                </c:pt>
              </c:numCache>
            </c:numRef>
          </c:val>
          <c:extLst>
            <c:ext xmlns:c16="http://schemas.microsoft.com/office/drawing/2014/chart" uri="{C3380CC4-5D6E-409C-BE32-E72D297353CC}">
              <c16:uniqueId val="{00000006-5DBC-4216-B21E-F0E10DF3E436}"/>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Distribución por propósito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6B3-478A-84F3-2D8831A3AC86}"/>
              </c:ext>
            </c:extLst>
          </c:dPt>
          <c:dPt>
            <c:idx val="1"/>
            <c:bubble3D val="0"/>
            <c:spPr>
              <a:solidFill>
                <a:schemeClr val="accent2"/>
              </a:solidFill>
              <a:ln w="19050">
                <a:solidFill>
                  <a:schemeClr val="lt1"/>
                </a:solidFill>
              </a:ln>
              <a:effectLst/>
            </c:spPr>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3-E6B3-478A-84F3-2D8831A3AC8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[7]Ganadería!$A$29:$A$31</c:f>
              <c:strCache>
                <c:ptCount val="3"/>
              </c:strCache>
            </c:strRef>
          </c:cat>
          <c:val>
            <c:numRef>
              <c:f>[7]Ganadería!$B$29:$B$31</c:f>
              <c:numCache>
                <c:formatCode>General</c:formatCode>
                <c:ptCount val="3"/>
              </c:numCache>
            </c:numRef>
          </c:val>
          <c:extLst>
            <c:ext xmlns:c16="http://schemas.microsoft.com/office/drawing/2014/chart" uri="{C3380CC4-5D6E-409C-BE32-E72D297353CC}">
              <c16:uniqueId val="{00000004-E6B3-478A-84F3-2D8831A3AC86}"/>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Distribución</a:t>
            </a:r>
            <a:r>
              <a:rPr lang="en-US" baseline="0"/>
              <a:t> por sexo</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9A4-4488-8760-96FE978C4E6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9A4-4488-8760-96FE978C4E62}"/>
              </c:ext>
            </c:extLst>
          </c:dPt>
          <c:dPt>
            <c:idx val="2"/>
            <c:bubble3D val="0"/>
            <c:spPr>
              <a:solidFill>
                <a:schemeClr val="accent3"/>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[7]Ganadería!$A$33:$A$35</c:f>
              <c:strCache>
                <c:ptCount val="3"/>
              </c:strCache>
            </c:strRef>
          </c:cat>
          <c:val>
            <c:numRef>
              <c:f>[7]Ganadería!$B$33:$B$35</c:f>
              <c:numCache>
                <c:formatCode>General</c:formatCode>
                <c:ptCount val="3"/>
              </c:numCache>
            </c:numRef>
          </c:val>
          <c:extLst>
            <c:ext xmlns:c16="http://schemas.microsoft.com/office/drawing/2014/chart" uri="{C3380CC4-5D6E-409C-BE32-E72D297353CC}">
              <c16:uniqueId val="{00000004-C9A4-4488-8760-96FE978C4E62}"/>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stacked"/>
        <c:varyColors val="0"/>
        <c:ser>
          <c:idx val="0"/>
          <c:order val="0"/>
          <c:tx>
            <c:v>Alcance 1</c:v>
          </c:tx>
          <c:spPr>
            <a:solidFill>
              <a:schemeClr val="accent1"/>
            </a:solidFill>
            <a:ln>
              <a:noFill/>
            </a:ln>
            <a:effectLst/>
          </c:spPr>
          <c:invertIfNegative val="0"/>
          <c:dLbls>
            <c:dLbl>
              <c:idx val="1"/>
              <c:layout>
                <c:manualLayout>
                  <c:x val="-5.0348423111094836E-17"/>
                  <c:y val="-8.4955767998656076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8CD4-4DCF-A2F9-BF5B373AD6CA}"/>
                </c:ext>
              </c:extLst>
            </c:dLbl>
            <c:dLbl>
              <c:idx val="2"/>
              <c:layout>
                <c:manualLayout>
                  <c:x val="0"/>
                  <c:y val="-9.9115062665098952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8CD4-4DCF-A2F9-BF5B373AD6CA}"/>
                </c:ext>
              </c:extLst>
            </c:dLbl>
            <c:dLbl>
              <c:idx val="3"/>
              <c:layout>
                <c:manualLayout>
                  <c:x val="0"/>
                  <c:y val="-8.0236003109841941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8CD4-4DCF-A2F9-BF5B373AD6CA}"/>
                </c:ext>
              </c:extLst>
            </c:dLbl>
            <c:dLbl>
              <c:idx val="4"/>
              <c:layout>
                <c:manualLayout>
                  <c:x val="-1.0069684622218967E-16"/>
                  <c:y val="-8.9675532887470488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8CD4-4DCF-A2F9-BF5B373AD6C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'3. Emisiones netas'!$B$15:$H$19</c:f>
              <c:multiLvlStrCache>
                <c:ptCount val="5"/>
                <c:lvl/>
                <c:lvl/>
                <c:lvl/>
                <c:lvl/>
                <c:lvl/>
                <c:lvl/>
                <c:lvl>
                  <c:pt idx="0">
                    <c:v>Por carretera</c:v>
                  </c:pt>
                  <c:pt idx="1">
                    <c:v>Ferroviario</c:v>
                  </c:pt>
                  <c:pt idx="2">
                    <c:v>Navegación marítima, fluvial y lacustre</c:v>
                  </c:pt>
                  <c:pt idx="3">
                    <c:v>Aviación</c:v>
                  </c:pt>
                  <c:pt idx="4">
                    <c:v>Fuera de carretera</c:v>
                  </c:pt>
                </c:lvl>
              </c:multiLvlStrCache>
            </c:multiLvlStrRef>
          </c:cat>
          <c:val>
            <c:numRef>
              <c:f>'3. Emisiones netas'!$I$15:$I$19</c:f>
              <c:numCache>
                <c:formatCode>#,##0.00</c:formatCode>
                <c:ptCount val="5"/>
                <c:pt idx="0">
                  <c:v>64817.208058792145</c:v>
                </c:pt>
                <c:pt idx="1">
                  <c:v>224.81559548938287</c:v>
                </c:pt>
                <c:pt idx="2">
                  <c:v>0</c:v>
                </c:pt>
                <c:pt idx="3">
                  <c:v>0</c:v>
                </c:pt>
                <c:pt idx="4">
                  <c:v>3426.2504331603122</c:v>
                </c:pt>
              </c:numCache>
            </c:numRef>
          </c:val>
          <c:extLst>
            <c:ext xmlns:c16="http://schemas.microsoft.com/office/drawing/2014/chart" uri="{C3380CC4-5D6E-409C-BE32-E72D297353CC}">
              <c16:uniqueId val="{00000000-5F9F-44F8-B45D-4E8B8E64458F}"/>
            </c:ext>
          </c:extLst>
        </c:ser>
        <c:ser>
          <c:idx val="1"/>
          <c:order val="1"/>
          <c:tx>
            <c:v>Alcance 2</c:v>
          </c:tx>
          <c:spPr>
            <a:solidFill>
              <a:schemeClr val="accent2"/>
            </a:solidFill>
            <a:ln>
              <a:noFill/>
            </a:ln>
            <a:effectLst/>
          </c:spPr>
          <c:invertIfNegative val="0"/>
          <c:dLbls>
            <c:delete val="1"/>
          </c:dLbls>
          <c:val>
            <c:numRef>
              <c:f>'3. Emisiones netas'!$J$15:$J$19</c:f>
              <c:numCache>
                <c:formatCode>#,##0.00</c:formatCode>
                <c:ptCount val="5"/>
                <c:pt idx="0">
                  <c:v>3.3188867529501334</c:v>
                </c:pt>
                <c:pt idx="1">
                  <c:v>0</c:v>
                </c:pt>
                <c:pt idx="2" formatCode="0.00">
                  <c:v>0</c:v>
                </c:pt>
                <c:pt idx="3" formatCode="0.00">
                  <c:v>0</c:v>
                </c:pt>
                <c:pt idx="4" formatCode="0.00">
                  <c:v>0</c:v>
                </c:pt>
              </c:numCache>
            </c:numRef>
          </c:val>
          <c:extLst>
            <c:ext xmlns:c16="http://schemas.microsoft.com/office/drawing/2014/chart" uri="{C3380CC4-5D6E-409C-BE32-E72D297353CC}">
              <c16:uniqueId val="{00000001-5F9F-44F8-B45D-4E8B8E64458F}"/>
            </c:ext>
          </c:extLst>
        </c:ser>
        <c:ser>
          <c:idx val="2"/>
          <c:order val="2"/>
          <c:tx>
            <c:v>Alcance 3</c:v>
          </c:tx>
          <c:spPr>
            <a:solidFill>
              <a:srgbClr val="92D050"/>
            </a:solidFill>
            <a:ln>
              <a:noFill/>
            </a:ln>
            <a:effectLst/>
          </c:spPr>
          <c:invertIfNegative val="0"/>
          <c:dLbls>
            <c:dLbl>
              <c:idx val="0"/>
              <c:layout>
                <c:manualLayout>
                  <c:x val="0"/>
                  <c:y val="-7.0796473332213478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CD4-4DCF-A2F9-BF5B373AD6CA}"/>
                </c:ext>
              </c:extLst>
            </c:dLbl>
            <c:dLbl>
              <c:idx val="1"/>
              <c:delete val="1"/>
              <c:extLst>
                <c:ext xmlns:c15="http://schemas.microsoft.com/office/drawing/2012/chart" uri="{CE6537A1-D6FC-4f65-9D91-7224C49458BB}"/>
                <c:ext xmlns:c16="http://schemas.microsoft.com/office/drawing/2014/chart" uri="{C3380CC4-5D6E-409C-BE32-E72D297353CC}">
                  <c16:uniqueId val="{00000003-8CD4-4DCF-A2F9-BF5B373AD6CA}"/>
                </c:ext>
              </c:extLst>
            </c:dLbl>
            <c:dLbl>
              <c:idx val="2"/>
              <c:delete val="1"/>
              <c:extLst>
                <c:ext xmlns:c15="http://schemas.microsoft.com/office/drawing/2012/chart" uri="{CE6537A1-D6FC-4f65-9D91-7224C49458BB}"/>
                <c:ext xmlns:c16="http://schemas.microsoft.com/office/drawing/2014/chart" uri="{C3380CC4-5D6E-409C-BE32-E72D297353CC}">
                  <c16:uniqueId val="{00000006-8CD4-4DCF-A2F9-BF5B373AD6CA}"/>
                </c:ext>
              </c:extLst>
            </c:dLbl>
            <c:dLbl>
              <c:idx val="3"/>
              <c:delete val="1"/>
              <c:extLst>
                <c:ext xmlns:c15="http://schemas.microsoft.com/office/drawing/2012/chart" uri="{CE6537A1-D6FC-4f65-9D91-7224C49458BB}"/>
                <c:ext xmlns:c16="http://schemas.microsoft.com/office/drawing/2014/chart" uri="{C3380CC4-5D6E-409C-BE32-E72D297353CC}">
                  <c16:uniqueId val="{00000008-8CD4-4DCF-A2F9-BF5B373AD6CA}"/>
                </c:ext>
              </c:extLst>
            </c:dLbl>
            <c:dLbl>
              <c:idx val="4"/>
              <c:delete val="1"/>
              <c:extLst>
                <c:ext xmlns:c15="http://schemas.microsoft.com/office/drawing/2012/chart" uri="{CE6537A1-D6FC-4f65-9D91-7224C49458BB}"/>
                <c:ext xmlns:c16="http://schemas.microsoft.com/office/drawing/2014/chart" uri="{C3380CC4-5D6E-409C-BE32-E72D297353CC}">
                  <c16:uniqueId val="{0000000A-8CD4-4DCF-A2F9-BF5B373AD6C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'3. Emisiones netas'!$K$15:$K$19</c:f>
              <c:numCache>
                <c:formatCode>#,##0.00</c:formatCode>
                <c:ptCount val="5"/>
                <c:pt idx="0" formatCode="0.00">
                  <c:v>5613.8483413400145</c:v>
                </c:pt>
                <c:pt idx="1">
                  <c:v>4496.311909787657</c:v>
                </c:pt>
                <c:pt idx="2">
                  <c:v>0</c:v>
                </c:pt>
                <c:pt idx="3">
                  <c:v>0</c:v>
                </c:pt>
                <c:pt idx="4" formatCode="General">
                  <c:v>0</c:v>
                </c:pt>
              </c:numCache>
            </c:numRef>
          </c:val>
          <c:extLst>
            <c:ext xmlns:c16="http://schemas.microsoft.com/office/drawing/2014/chart" uri="{C3380CC4-5D6E-409C-BE32-E72D297353CC}">
              <c16:uniqueId val="{00000002-5F9F-44F8-B45D-4E8B8E64458F}"/>
            </c:ext>
          </c:extLst>
        </c:ser>
        <c:dLbls>
          <c:dLblPos val="ctr"/>
          <c:showLegendKey val="0"/>
          <c:showVal val="1"/>
          <c:showCatName val="0"/>
          <c:showSerName val="0"/>
          <c:showPercent val="0"/>
          <c:showBubbleSize val="0"/>
        </c:dLbls>
        <c:gapWidth val="219"/>
        <c:overlap val="100"/>
        <c:axId val="517293728"/>
        <c:axId val="517295296"/>
      </c:barChart>
      <c:catAx>
        <c:axId val="517293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295296"/>
        <c:crosses val="autoZero"/>
        <c:auto val="1"/>
        <c:lblAlgn val="ctr"/>
        <c:lblOffset val="100"/>
        <c:noMultiLvlLbl val="0"/>
      </c:catAx>
      <c:valAx>
        <c:axId val="51729529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100" b="0" i="0" u="none" strike="noStrike" kern="1200" baseline="0">
                    <a:solidFill>
                      <a:sysClr val="windowText" lastClr="000000">
                        <a:lumMod val="65000"/>
                        <a:lumOff val="35000"/>
                      </a:sysClr>
                    </a:solidFill>
                    <a:latin typeface="+mn-lt"/>
                    <a:ea typeface="+mn-ea"/>
                    <a:cs typeface="+mn-cs"/>
                  </a:defRPr>
                </a:pPr>
                <a:r>
                  <a:rPr lang="en-US" sz="1100" b="0" i="0" baseline="0">
                    <a:effectLst/>
                  </a:rPr>
                  <a:t>Emisiones Gei, tonCO2eq</a:t>
                </a:r>
                <a:endParaRPr lang="en-US" sz="1100">
                  <a:effectLst/>
                </a:endParaRPr>
              </a:p>
            </c:rich>
          </c:tx>
          <c:layout>
            <c:manualLayout>
              <c:xMode val="edge"/>
              <c:yMode val="edge"/>
              <c:x val="1.0985237397900003E-2"/>
              <c:y val="0.16503048150521107"/>
            </c:manualLayout>
          </c:layout>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100" b="0" i="0" u="none" strike="noStrike" kern="1200" baseline="0">
                  <a:solidFill>
                    <a:sysClr val="windowText" lastClr="000000">
                      <a:lumMod val="65000"/>
                      <a:lumOff val="35000"/>
                    </a:sys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293728"/>
        <c:crosses val="autoZero"/>
        <c:crossBetween val="between"/>
        <c:majorUnit val="20000"/>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stacked"/>
        <c:varyColors val="0"/>
        <c:ser>
          <c:idx val="0"/>
          <c:order val="0"/>
          <c:tx>
            <c:v>Alcance 1</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'3. Emisiones netas'!$B$21:$H$24</c:f>
              <c:multiLvlStrCache>
                <c:ptCount val="4"/>
                <c:lvl/>
                <c:lvl/>
                <c:lvl/>
                <c:lvl/>
                <c:lvl/>
                <c:lvl/>
                <c:lvl>
                  <c:pt idx="0">
                    <c:v>Disposición de residuos sólidos generados en la ciudad</c:v>
                  </c:pt>
                  <c:pt idx="1">
                    <c:v>Tratamiento biológico de residuos generados en la ciudad</c:v>
                  </c:pt>
                  <c:pt idx="2">
                    <c:v>Incineración y quema a cielo abierto de residuos generados en la ciudad</c:v>
                  </c:pt>
                  <c:pt idx="3">
                    <c:v>Aguas residuales generadas en la ciudad</c:v>
                  </c:pt>
                </c:lvl>
              </c:multiLvlStrCache>
            </c:multiLvlStrRef>
          </c:cat>
          <c:val>
            <c:numRef>
              <c:f>'3. Emisiones netas'!$I$21:$I$24</c:f>
              <c:numCache>
                <c:formatCode>#,##0.00</c:formatCode>
                <c:ptCount val="4"/>
                <c:pt idx="0">
                  <c:v>0</c:v>
                </c:pt>
                <c:pt idx="1">
                  <c:v>232.55237484685961</c:v>
                </c:pt>
                <c:pt idx="2" formatCode="0.00">
                  <c:v>50.151476144691493</c:v>
                </c:pt>
                <c:pt idx="3">
                  <c:v>2446.4208466971272</c:v>
                </c:pt>
              </c:numCache>
            </c:numRef>
          </c:val>
          <c:extLst>
            <c:ext xmlns:c16="http://schemas.microsoft.com/office/drawing/2014/chart" uri="{C3380CC4-5D6E-409C-BE32-E72D297353CC}">
              <c16:uniqueId val="{00000000-2138-4C4B-BAAD-6DC00B357D36}"/>
            </c:ext>
          </c:extLst>
        </c:ser>
        <c:ser>
          <c:idx val="1"/>
          <c:order val="1"/>
          <c:tx>
            <c:v>Alcance 3</c:v>
          </c:tx>
          <c:spPr>
            <a:solidFill>
              <a:srgbClr val="92D050"/>
            </a:solidFill>
            <a:ln>
              <a:noFill/>
            </a:ln>
            <a:effectLst/>
          </c:spPr>
          <c:invertIfNegative val="0"/>
          <c:dLbls>
            <c:dLbl>
              <c:idx val="1"/>
              <c:layout>
                <c:manualLayout>
                  <c:x val="-5.0400328696313072E-17"/>
                  <c:y val="-7.0546750275984074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CA7-41F9-9937-196E90395B96}"/>
                </c:ext>
              </c:extLst>
            </c:dLbl>
            <c:dLbl>
              <c:idx val="2"/>
              <c:layout>
                <c:manualLayout>
                  <c:x val="-1.0080065739262614E-16"/>
                  <c:y val="-0.117577917126640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D20-4EAA-892B-5E28DDB5EEE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'3. Emisiones netas'!$K$21:$K$24</c:f>
              <c:numCache>
                <c:formatCode>#,##0.00</c:formatCode>
                <c:ptCount val="4"/>
                <c:pt idx="0">
                  <c:v>9133.372899</c:v>
                </c:pt>
                <c:pt idx="1">
                  <c:v>0</c:v>
                </c:pt>
                <c:pt idx="2" formatCode="0.00">
                  <c:v>568.49083677545286</c:v>
                </c:pt>
                <c:pt idx="3">
                  <c:v>0</c:v>
                </c:pt>
              </c:numCache>
            </c:numRef>
          </c:val>
          <c:extLst>
            <c:ext xmlns:c16="http://schemas.microsoft.com/office/drawing/2014/chart" uri="{C3380CC4-5D6E-409C-BE32-E72D297353CC}">
              <c16:uniqueId val="{00000001-2138-4C4B-BAAD-6DC00B357D36}"/>
            </c:ext>
          </c:extLst>
        </c:ser>
        <c:dLbls>
          <c:dLblPos val="ctr"/>
          <c:showLegendKey val="0"/>
          <c:showVal val="1"/>
          <c:showCatName val="0"/>
          <c:showSerName val="0"/>
          <c:showPercent val="0"/>
          <c:showBubbleSize val="0"/>
        </c:dLbls>
        <c:gapWidth val="219"/>
        <c:overlap val="100"/>
        <c:axId val="517294512"/>
        <c:axId val="517299216"/>
      </c:barChart>
      <c:catAx>
        <c:axId val="517294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299216"/>
        <c:crosses val="autoZero"/>
        <c:auto val="1"/>
        <c:lblAlgn val="ctr"/>
        <c:lblOffset val="100"/>
        <c:noMultiLvlLbl val="0"/>
      </c:catAx>
      <c:valAx>
        <c:axId val="5172992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r>
                  <a:rPr lang="en-US" sz="1100" b="0" i="0" baseline="0">
                    <a:effectLst/>
                  </a:rPr>
                  <a:t>Emisiones Gei, tonCO2eq</a:t>
                </a:r>
                <a:endParaRPr lang="en-US" sz="600">
                  <a:effectLst/>
                </a:endParaRPr>
              </a:p>
            </c:rich>
          </c:tx>
          <c:layout>
            <c:manualLayout>
              <c:xMode val="edge"/>
              <c:yMode val="edge"/>
              <c:x val="8.2474217877617998E-3"/>
              <c:y val="0.16621184689170276"/>
            </c:manualLayout>
          </c:layout>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2945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v>Alcance 1</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'3. Emisiones netas'!$B$26:$H$27</c:f>
              <c:multiLvlStrCache>
                <c:ptCount val="2"/>
                <c:lvl/>
                <c:lvl/>
                <c:lvl/>
                <c:lvl/>
                <c:lvl/>
                <c:lvl/>
                <c:lvl>
                  <c:pt idx="0">
                    <c:v>Procesos Industriales</c:v>
                  </c:pt>
                  <c:pt idx="1">
                    <c:v>Uso de Productos</c:v>
                  </c:pt>
                </c:lvl>
              </c:multiLvlStrCache>
            </c:multiLvlStrRef>
          </c:cat>
          <c:val>
            <c:numRef>
              <c:f>'3. Emisiones netas'!$I$26:$I$27</c:f>
              <c:numCache>
                <c:formatCode>#,##0.00</c:formatCode>
                <c:ptCount val="2"/>
                <c:pt idx="0">
                  <c:v>0</c:v>
                </c:pt>
                <c:pt idx="1">
                  <c:v>184895.28895615131</c:v>
                </c:pt>
              </c:numCache>
            </c:numRef>
          </c:val>
          <c:extLst>
            <c:ext xmlns:c16="http://schemas.microsoft.com/office/drawing/2014/chart" uri="{C3380CC4-5D6E-409C-BE32-E72D297353CC}">
              <c16:uniqueId val="{00000000-A5D7-45E9-A1A3-31572523F14F}"/>
            </c:ext>
          </c:extLst>
        </c:ser>
        <c:dLbls>
          <c:dLblPos val="outEnd"/>
          <c:showLegendKey val="0"/>
          <c:showVal val="1"/>
          <c:showCatName val="0"/>
          <c:showSerName val="0"/>
          <c:showPercent val="0"/>
          <c:showBubbleSize val="0"/>
        </c:dLbls>
        <c:gapWidth val="219"/>
        <c:overlap val="-27"/>
        <c:axId val="517293336"/>
        <c:axId val="518119272"/>
      </c:barChart>
      <c:catAx>
        <c:axId val="517293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8119272"/>
        <c:crosses val="autoZero"/>
        <c:auto val="1"/>
        <c:lblAlgn val="ctr"/>
        <c:lblOffset val="100"/>
        <c:noMultiLvlLbl val="0"/>
      </c:catAx>
      <c:valAx>
        <c:axId val="518119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r>
                  <a:rPr lang="en-US" sz="1100" b="0" i="0" baseline="0">
                    <a:effectLst/>
                  </a:rPr>
                  <a:t>Emisiones Gei, tonCO2eq</a:t>
                </a:r>
                <a:endParaRPr lang="en-US" sz="600">
                  <a:effectLst/>
                </a:endParaRPr>
              </a:p>
            </c:rich>
          </c:tx>
          <c:layout>
            <c:manualLayout>
              <c:xMode val="edge"/>
              <c:yMode val="edge"/>
              <c:x val="1.7021276595744681E-2"/>
              <c:y val="0.18985584161635813"/>
            </c:manualLayout>
          </c:layout>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2933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v>Alcance 1</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'3. Emisiones netas'!$B$29:$H$31</c:f>
              <c:multiLvlStrCache>
                <c:ptCount val="3"/>
                <c:lvl/>
                <c:lvl/>
                <c:lvl/>
                <c:lvl/>
                <c:lvl/>
                <c:lvl/>
                <c:lvl>
                  <c:pt idx="0">
                    <c:v>Ganadería</c:v>
                  </c:pt>
                  <c:pt idx="1">
                    <c:v>Uso de la Tierra</c:v>
                  </c:pt>
                  <c:pt idx="2">
                    <c:v>Fuentes agregadas y emisiones procedentes de fuentes del suelo distintas  al CO2</c:v>
                  </c:pt>
                </c:lvl>
              </c:multiLvlStrCache>
            </c:multiLvlStrRef>
          </c:cat>
          <c:val>
            <c:numRef>
              <c:f>'3. Emisiones netas'!$I$29:$I$31</c:f>
              <c:numCache>
                <c:formatCode>#,##0.00</c:formatCode>
                <c:ptCount val="3"/>
                <c:pt idx="0">
                  <c:v>478.58192969999999</c:v>
                </c:pt>
                <c:pt idx="1">
                  <c:v>508.79398808619885</c:v>
                </c:pt>
                <c:pt idx="2">
                  <c:v>72.315509634186242</c:v>
                </c:pt>
              </c:numCache>
            </c:numRef>
          </c:val>
          <c:extLst>
            <c:ext xmlns:c16="http://schemas.microsoft.com/office/drawing/2014/chart" uri="{C3380CC4-5D6E-409C-BE32-E72D297353CC}">
              <c16:uniqueId val="{00000000-AC93-49D4-9778-46C3968F071E}"/>
            </c:ext>
          </c:extLst>
        </c:ser>
        <c:dLbls>
          <c:showLegendKey val="0"/>
          <c:showVal val="1"/>
          <c:showCatName val="0"/>
          <c:showSerName val="0"/>
          <c:showPercent val="0"/>
          <c:showBubbleSize val="0"/>
        </c:dLbls>
        <c:gapWidth val="219"/>
        <c:overlap val="-27"/>
        <c:axId val="518119664"/>
        <c:axId val="518122016"/>
      </c:barChart>
      <c:catAx>
        <c:axId val="518119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8122016"/>
        <c:crosses val="autoZero"/>
        <c:auto val="1"/>
        <c:lblAlgn val="ctr"/>
        <c:lblOffset val="100"/>
        <c:noMultiLvlLbl val="0"/>
      </c:catAx>
      <c:valAx>
        <c:axId val="518122016"/>
        <c:scaling>
          <c:orientation val="minMax"/>
          <c:max val="60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r>
                  <a:rPr lang="en-US" sz="1100" b="0" i="0" baseline="0">
                    <a:effectLst/>
                  </a:rPr>
                  <a:t>Emisiones Gei, tonCO2eq</a:t>
                </a:r>
                <a:endParaRPr lang="en-US" sz="600">
                  <a:effectLst/>
                </a:endParaRPr>
              </a:p>
            </c:rich>
          </c:tx>
          <c:layout>
            <c:manualLayout>
              <c:xMode val="edge"/>
              <c:yMode val="edge"/>
              <c:x val="1.6260162601626018E-2"/>
              <c:y val="6.4527559055118103E-2"/>
            </c:manualLayout>
          </c:layout>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8119664"/>
        <c:crosses val="autoZero"/>
        <c:crossBetween val="between"/>
        <c:majorUnit val="100"/>
        <c:minorUnit val="50"/>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'3. Emisiones netas'!$B$115:$G$115</c:f>
              <c:strCache>
                <c:ptCount val="6"/>
                <c:pt idx="0">
                  <c:v>Emisiones totales</c:v>
                </c:pt>
              </c:strCache>
            </c:strRef>
          </c:tx>
          <c:spPr>
            <a:solidFill>
              <a:schemeClr val="accent1"/>
            </a:solidFill>
            <a:ln>
              <a:noFill/>
            </a:ln>
            <a:effectLst/>
          </c:spPr>
          <c:invertIfNegative val="0"/>
          <c:dLbls>
            <c:dLbl>
              <c:idx val="0"/>
              <c:layout>
                <c:manualLayout>
                  <c:x val="2.8248587570621469E-3"/>
                  <c:y val="8.2825896668278203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621-4B17-B4B9-354A16FB6700}"/>
                </c:ext>
              </c:extLst>
            </c:dLbl>
            <c:dLbl>
              <c:idx val="1"/>
              <c:layout>
                <c:manualLayout>
                  <c:x val="-2.2105075848569775E-3"/>
                  <c:y val="1.278788880116153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1621-4B17-B4B9-354A16FB6700}"/>
                </c:ext>
              </c:extLst>
            </c:dLbl>
            <c:dLbl>
              <c:idx val="2"/>
              <c:layout>
                <c:manualLayout>
                  <c:x val="2.8248587570621469E-3"/>
                  <c:y val="1.7622134445136859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621-4B17-B4B9-354A16FB6700}"/>
                </c:ext>
              </c:extLst>
            </c:dLbl>
            <c:dLbl>
              <c:idx val="4"/>
              <c:layout>
                <c:manualLayout>
                  <c:x val="-1.0357695789575588E-16"/>
                  <c:y val="7.9928034559522219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1621-4B17-B4B9-354A16FB670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'3. Emisiones netas'!$B$43:$H$47</c:f>
              <c:multiLvlStrCache>
                <c:ptCount val="5"/>
                <c:lvl/>
                <c:lvl/>
                <c:lvl/>
                <c:lvl/>
                <c:lvl/>
                <c:lvl/>
                <c:lvl>
                  <c:pt idx="0">
                    <c:v>Sector Energía Estacionaria</c:v>
                  </c:pt>
                  <c:pt idx="1">
                    <c:v>Sector Transporte</c:v>
                  </c:pt>
                  <c:pt idx="2">
                    <c:v>Sector Residuos</c:v>
                  </c:pt>
                  <c:pt idx="3">
                    <c:v>Sector Procesos Industriales y Uso de Productos</c:v>
                  </c:pt>
                  <c:pt idx="4">
                    <c:v>Sector Agricultura, Silvicultura y Otros Usos de la Tierra</c:v>
                  </c:pt>
                </c:lvl>
              </c:multiLvlStrCache>
            </c:multiLvlStrRef>
          </c:cat>
          <c:val>
            <c:numRef>
              <c:f>'3. Emisiones netas'!$L$43:$L$47</c:f>
              <c:numCache>
                <c:formatCode>#,##0.00</c:formatCode>
                <c:ptCount val="5"/>
                <c:pt idx="0">
                  <c:v>120984.4579688315</c:v>
                </c:pt>
                <c:pt idx="1">
                  <c:v>78581.753225322464</c:v>
                </c:pt>
                <c:pt idx="2">
                  <c:v>12430.98843346413</c:v>
                </c:pt>
                <c:pt idx="3">
                  <c:v>184895.28895615131</c:v>
                </c:pt>
                <c:pt idx="4">
                  <c:v>1059.691427420385</c:v>
                </c:pt>
              </c:numCache>
            </c:numRef>
          </c:val>
          <c:extLst>
            <c:ext xmlns:c16="http://schemas.microsoft.com/office/drawing/2014/chart" uri="{C3380CC4-5D6E-409C-BE32-E72D297353CC}">
              <c16:uniqueId val="{00000000-D22F-4632-9E4F-1D84489CC345}"/>
            </c:ext>
          </c:extLst>
        </c:ser>
        <c:dLbls>
          <c:dLblPos val="ctr"/>
          <c:showLegendKey val="0"/>
          <c:showVal val="1"/>
          <c:showCatName val="0"/>
          <c:showSerName val="0"/>
          <c:showPercent val="0"/>
          <c:showBubbleSize val="0"/>
        </c:dLbls>
        <c:gapWidth val="219"/>
        <c:overlap val="-27"/>
        <c:axId val="518115352"/>
        <c:axId val="518115744"/>
      </c:barChart>
      <c:catAx>
        <c:axId val="518115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50" b="0" i="0" u="none" strike="noStrike" kern="1200" baseline="0">
                <a:solidFill>
                  <a:schemeClr val="tx1">
                    <a:lumMod val="65000"/>
                    <a:lumOff val="35000"/>
                  </a:schemeClr>
                </a:solidFill>
                <a:latin typeface="+mn-lt"/>
                <a:ea typeface="+mn-ea"/>
                <a:cs typeface="+mn-cs"/>
              </a:defRPr>
            </a:pPr>
            <a:endParaRPr lang="en-US"/>
          </a:p>
        </c:txPr>
        <c:crossAx val="518115744"/>
        <c:crosses val="autoZero"/>
        <c:auto val="1"/>
        <c:lblAlgn val="ctr"/>
        <c:lblOffset val="100"/>
        <c:noMultiLvlLbl val="0"/>
      </c:catAx>
      <c:valAx>
        <c:axId val="518115744"/>
        <c:scaling>
          <c:orientation val="minMax"/>
          <c:max val="185000"/>
          <c:min val="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r>
                  <a:rPr lang="en-US" sz="1100" b="0" i="0" baseline="0">
                    <a:effectLst/>
                  </a:rPr>
                  <a:t>Emisiones Gei, tonCO2eq</a:t>
                </a:r>
                <a:endParaRPr lang="en-US" sz="600">
                  <a:effectLst/>
                </a:endParaRPr>
              </a:p>
            </c:rich>
          </c:tx>
          <c:layout>
            <c:manualLayout>
              <c:xMode val="edge"/>
              <c:yMode val="edge"/>
              <c:x val="8.4745762711864406E-3"/>
              <c:y val="9.3707238352328581E-2"/>
            </c:manualLayout>
          </c:layout>
          <c:overlay val="0"/>
          <c:spPr>
            <a:noFill/>
            <a:ln>
              <a:noFill/>
            </a:ln>
            <a:effectLst/>
          </c:spPr>
          <c:txPr>
            <a:bodyPr rot="-540000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8115352"/>
        <c:crosses val="autoZero"/>
        <c:crossBetween val="between"/>
        <c:majorUnit val="20000"/>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1"/>
          <c:order val="0"/>
          <c:tx>
            <c:v>Emisiones totales</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D26-46A3-8A69-1D479C09E10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D26-46A3-8A69-1D479C09E102}"/>
              </c:ext>
            </c:extLst>
          </c:dPt>
          <c:dPt>
            <c:idx val="2"/>
            <c:bubble3D val="0"/>
            <c:spPr>
              <a:solidFill>
                <a:schemeClr val="bg1">
                  <a:lumMod val="50000"/>
                </a:schemeClr>
              </a:solidFill>
              <a:ln w="19050">
                <a:solidFill>
                  <a:schemeClr val="lt1"/>
                </a:solidFill>
              </a:ln>
              <a:effectLst/>
            </c:spPr>
            <c:extLst>
              <c:ext xmlns:c16="http://schemas.microsoft.com/office/drawing/2014/chart" uri="{C3380CC4-5D6E-409C-BE32-E72D297353CC}">
                <c16:uniqueId val="{00000002-3421-40BA-BCB5-1C19D938C5E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D26-46A3-8A69-1D479C09E102}"/>
              </c:ext>
            </c:extLst>
          </c:dPt>
          <c:dPt>
            <c:idx val="4"/>
            <c:bubble3D val="0"/>
            <c:spPr>
              <a:solidFill>
                <a:srgbClr val="92D050"/>
              </a:solidFill>
              <a:ln w="19050">
                <a:solidFill>
                  <a:schemeClr val="lt1"/>
                </a:solidFill>
              </a:ln>
              <a:effectLst/>
            </c:spPr>
            <c:extLst>
              <c:ext xmlns:c16="http://schemas.microsoft.com/office/drawing/2014/chart" uri="{C3380CC4-5D6E-409C-BE32-E72D297353CC}">
                <c16:uniqueId val="{00000003-3421-40BA-BCB5-1C19D938C5EC}"/>
              </c:ext>
            </c:extLst>
          </c:dPt>
          <c:dLbls>
            <c:dLbl>
              <c:idx val="0"/>
              <c:layout>
                <c:manualLayout>
                  <c:x val="4.8484848484848436E-2"/>
                  <c:y val="-7.233274429292750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1D26-46A3-8A69-1D479C09E102}"/>
                </c:ext>
              </c:extLst>
            </c:dLbl>
            <c:dLbl>
              <c:idx val="1"/>
              <c:layout>
                <c:manualLayout>
                  <c:x val="8.3501683501683507E-2"/>
                  <c:y val="0.10126584201009849"/>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D26-46A3-8A69-1D479C09E102}"/>
                </c:ext>
              </c:extLst>
            </c:dLbl>
            <c:dLbl>
              <c:idx val="2"/>
              <c:layout>
                <c:manualLayout>
                  <c:x val="-5.9259259259259268E-2"/>
                  <c:y val="-8.1977110198651185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421-40BA-BCB5-1C19D938C5EC}"/>
                </c:ext>
              </c:extLst>
            </c:dLbl>
            <c:dLbl>
              <c:idx val="3"/>
              <c:layout>
                <c:manualLayout>
                  <c:x val="-5.3872053872053897E-2"/>
                  <c:y val="-0.10126584201009849"/>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1D26-46A3-8A69-1D479C09E102}"/>
                </c:ext>
              </c:extLst>
            </c:dLbl>
            <c:dLbl>
              <c:idx val="4"/>
              <c:layout>
                <c:manualLayout>
                  <c:x val="5.1178451178451177E-2"/>
                  <c:y val="-0.1060880249629603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421-40BA-BCB5-1C19D938C5E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multiLvlStrRef>
              <c:f>'3. Emisiones netas'!$B$43:$H$47</c:f>
              <c:multiLvlStrCache>
                <c:ptCount val="5"/>
                <c:lvl/>
                <c:lvl/>
                <c:lvl/>
                <c:lvl/>
                <c:lvl/>
                <c:lvl/>
                <c:lvl>
                  <c:pt idx="0">
                    <c:v>Sector Energía Estacionaria</c:v>
                  </c:pt>
                  <c:pt idx="1">
                    <c:v>Sector Transporte</c:v>
                  </c:pt>
                  <c:pt idx="2">
                    <c:v>Sector Residuos</c:v>
                  </c:pt>
                  <c:pt idx="3">
                    <c:v>Sector Procesos Industriales y Uso de Productos</c:v>
                  </c:pt>
                  <c:pt idx="4">
                    <c:v>Sector Agricultura, Silvicultura y Otros Usos de la Tierra</c:v>
                  </c:pt>
                </c:lvl>
              </c:multiLvlStrCache>
            </c:multiLvlStrRef>
          </c:cat>
          <c:val>
            <c:numRef>
              <c:f>'3. Emisiones netas'!$L$43:$L$47</c:f>
              <c:numCache>
                <c:formatCode>#,##0.00</c:formatCode>
                <c:ptCount val="5"/>
                <c:pt idx="0">
                  <c:v>120984.4579688315</c:v>
                </c:pt>
                <c:pt idx="1">
                  <c:v>78581.753225322464</c:v>
                </c:pt>
                <c:pt idx="2">
                  <c:v>12430.98843346413</c:v>
                </c:pt>
                <c:pt idx="3">
                  <c:v>184895.28895615131</c:v>
                </c:pt>
                <c:pt idx="4">
                  <c:v>1059.691427420385</c:v>
                </c:pt>
              </c:numCache>
            </c:numRef>
          </c:val>
          <c:extLst>
            <c:ext xmlns:c16="http://schemas.microsoft.com/office/drawing/2014/chart" uri="{C3380CC4-5D6E-409C-BE32-E72D297353CC}">
              <c16:uniqueId val="{00000001-3421-40BA-BCB5-1C19D938C5E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64166666666666672"/>
          <c:y val="6.9616754162075467E-2"/>
          <c:w val="0.34166666666666667"/>
          <c:h val="0.88969958939302007"/>
        </c:manualLayout>
      </c:layout>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pivotFmt>
      <c:pivotFmt>
        <c:idx val="2"/>
        <c:spPr>
          <a:solidFill>
            <a:schemeClr val="bg1">
              <a:lumMod val="65000"/>
            </a:schemeClr>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bg1">
              <a:lumMod val="65000"/>
            </a:schemeClr>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6"/>
          </a:solidFill>
          <a:ln w="19050">
            <a:solidFill>
              <a:schemeClr val="lt1"/>
            </a:solidFill>
          </a:ln>
          <a:effectLst/>
        </c:spPr>
      </c:pivotFmt>
    </c:pivotFmts>
    <c:plotArea>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689-4B1A-A538-F327F96B3E2F}"/>
              </c:ext>
            </c:extLst>
          </c:dPt>
          <c:dPt>
            <c:idx val="1"/>
            <c:bubble3D val="0"/>
            <c:spPr>
              <a:solidFill>
                <a:schemeClr val="bg1">
                  <a:lumMod val="65000"/>
                </a:schemeClr>
              </a:solidFill>
              <a:ln w="19050">
                <a:solidFill>
                  <a:schemeClr val="lt1"/>
                </a:solidFill>
              </a:ln>
              <a:effectLst/>
            </c:spPr>
            <c:extLst>
              <c:ext xmlns:c16="http://schemas.microsoft.com/office/drawing/2014/chart" uri="{C3380CC4-5D6E-409C-BE32-E72D297353CC}">
                <c16:uniqueId val="{00000003-F689-4B1A-A538-F327F96B3E2F}"/>
              </c:ext>
            </c:extLst>
          </c:dPt>
          <c:dPt>
            <c:idx val="2"/>
            <c:bubble3D val="0"/>
            <c:spPr>
              <a:solidFill>
                <a:schemeClr val="accent6"/>
              </a:solidFill>
              <a:ln w="19050">
                <a:solidFill>
                  <a:schemeClr val="lt1"/>
                </a:solidFill>
              </a:ln>
              <a:effectLst/>
            </c:spPr>
            <c:extLst>
              <c:ext xmlns:c16="http://schemas.microsoft.com/office/drawing/2014/chart" uri="{C3380CC4-5D6E-409C-BE32-E72D297353CC}">
                <c16:uniqueId val="{00000005-F689-4B1A-A538-F327F96B3E2F}"/>
              </c:ext>
            </c:extLst>
          </c:dPt>
          <c:dPt>
            <c:idx val="3"/>
            <c:bubble3D val="0"/>
            <c:spPr>
              <a:solidFill>
                <a:schemeClr val="accent2"/>
              </a:solidFill>
              <a:ln w="19050">
                <a:solidFill>
                  <a:schemeClr val="lt1"/>
                </a:solidFill>
              </a:ln>
              <a:effectLst/>
            </c:spPr>
            <c:extLst>
              <c:ext xmlns:c16="http://schemas.microsoft.com/office/drawing/2014/chart" uri="{C3380CC4-5D6E-409C-BE32-E72D297353CC}">
                <c16:uniqueId val="{00000007-F689-4B1A-A538-F327F96B3E2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4"/>
              <c:pt idx="0">
                <c:v>alcantarillado</c:v>
              </c:pt>
              <c:pt idx="1">
                <c:v>descarga a río</c:v>
              </c:pt>
              <c:pt idx="2">
                <c:v>planta de tratamiento</c:v>
              </c:pt>
              <c:pt idx="3">
                <c:v>tanque séptico</c:v>
              </c:pt>
            </c:strLit>
          </c:cat>
          <c:val>
            <c:numLit>
              <c:formatCode>General</c:formatCode>
              <c:ptCount val="4"/>
              <c:pt idx="0">
                <c:v>39</c:v>
              </c:pt>
              <c:pt idx="1">
                <c:v>3</c:v>
              </c:pt>
              <c:pt idx="2">
                <c:v>18</c:v>
              </c:pt>
              <c:pt idx="3">
                <c:v>145</c:v>
              </c:pt>
            </c:numLit>
          </c:val>
          <c:extLst>
            <c:ext xmlns:c16="http://schemas.microsoft.com/office/drawing/2014/chart" uri="{C3380CC4-5D6E-409C-BE32-E72D297353CC}">
              <c16:uniqueId val="{00000008-F689-4B1A-A538-F327F96B3E2F}"/>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Distribución</a:t>
            </a:r>
            <a:r>
              <a:rPr lang="en-US" baseline="0"/>
              <a:t> de uso de refrigerantes en A/C residencial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6"/>
          </a:solidFill>
          <a:ln w="19050">
            <a:solidFill>
              <a:schemeClr val="lt1"/>
            </a:solidFill>
          </a:ln>
          <a:effectLst/>
        </c:spPr>
      </c:pivotFmt>
    </c:pivotFmts>
    <c:plotArea>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B5F-4698-9F6D-39FB7FBAF7D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B5F-4698-9F6D-39FB7FBAF7D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2"/>
              <c:pt idx="0">
                <c:v>R22</c:v>
              </c:pt>
              <c:pt idx="1">
                <c:v>R410A</c:v>
              </c:pt>
            </c:strLit>
          </c:cat>
          <c:val>
            <c:numLit>
              <c:formatCode>General</c:formatCode>
              <c:ptCount val="2"/>
              <c:pt idx="0">
                <c:v>1</c:v>
              </c:pt>
              <c:pt idx="1">
                <c:v>3</c:v>
              </c:pt>
            </c:numLit>
          </c:val>
          <c:extLst>
            <c:ext xmlns:c16="http://schemas.microsoft.com/office/drawing/2014/chart" uri="{C3380CC4-5D6E-409C-BE32-E72D297353CC}">
              <c16:uniqueId val="{00000004-3B5F-4698-9F6D-39FB7FBAF7DE}"/>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jpg"/></Relationships>
</file>

<file path=xl/drawings/_rels/drawing10.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5" Type="http://schemas.openxmlformats.org/officeDocument/2006/relationships/chart" Target="../charts/chart8.xml"/><Relationship Id="rId4" Type="http://schemas.openxmlformats.org/officeDocument/2006/relationships/image" Target="../media/image58.png"/></Relationships>
</file>

<file path=xl/drawings/_rels/drawing11.xml.rels><?xml version="1.0" encoding="UTF-8" standalone="yes"?>
<Relationships xmlns="http://schemas.openxmlformats.org/package/2006/relationships"><Relationship Id="rId3" Type="http://schemas.openxmlformats.org/officeDocument/2006/relationships/chart" Target="../charts/chart11.xml"/><Relationship Id="rId7" Type="http://schemas.openxmlformats.org/officeDocument/2006/relationships/chart" Target="../charts/chart15.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chart" Target="../charts/chart14.xml"/><Relationship Id="rId5" Type="http://schemas.openxmlformats.org/officeDocument/2006/relationships/chart" Target="../charts/chart13.xml"/><Relationship Id="rId4" Type="http://schemas.openxmlformats.org/officeDocument/2006/relationships/chart" Target="../charts/chart12.xml"/></Relationships>
</file>

<file path=xl/drawings/_rels/drawing12.xml.rels><?xml version="1.0" encoding="UTF-8" standalone="yes"?>
<Relationships xmlns="http://schemas.openxmlformats.org/package/2006/relationships"><Relationship Id="rId2" Type="http://schemas.openxmlformats.org/officeDocument/2006/relationships/chart" Target="../charts/chart17.xml"/><Relationship Id="rId1" Type="http://schemas.openxmlformats.org/officeDocument/2006/relationships/chart" Target="../charts/chart16.xml"/></Relationships>
</file>

<file path=xl/drawings/_rels/drawing2.xml.rels><?xml version="1.0" encoding="UTF-8" standalone="yes"?>
<Relationships xmlns="http://schemas.openxmlformats.org/package/2006/relationships"><Relationship Id="rId1" Type="http://schemas.openxmlformats.org/officeDocument/2006/relationships/image" Target="../media/image10.png"/></Relationships>
</file>

<file path=xl/drawings/_rels/drawing3.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8" Type="http://schemas.openxmlformats.org/officeDocument/2006/relationships/image" Target="../media/image26.png"/><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5.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4" Type="http://schemas.openxmlformats.org/officeDocument/2006/relationships/image" Target="../media/image30.png"/></Relationships>
</file>

<file path=xl/drawings/_rels/drawing6.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 Id="rId4" Type="http://schemas.openxmlformats.org/officeDocument/2006/relationships/image" Target="../media/image34.png"/></Relationships>
</file>

<file path=xl/drawings/_rels/drawing7.xml.rels><?xml version="1.0" encoding="UTF-8" standalone="yes"?>
<Relationships xmlns="http://schemas.openxmlformats.org/package/2006/relationships"><Relationship Id="rId8" Type="http://schemas.openxmlformats.org/officeDocument/2006/relationships/image" Target="../media/image42.png"/><Relationship Id="rId3" Type="http://schemas.openxmlformats.org/officeDocument/2006/relationships/image" Target="../media/image37.png"/><Relationship Id="rId7" Type="http://schemas.openxmlformats.org/officeDocument/2006/relationships/image" Target="../media/image41.png"/><Relationship Id="rId2" Type="http://schemas.openxmlformats.org/officeDocument/2006/relationships/image" Target="../media/image36.png"/><Relationship Id="rId1" Type="http://schemas.openxmlformats.org/officeDocument/2006/relationships/image" Target="../media/image35.png"/><Relationship Id="rId6" Type="http://schemas.openxmlformats.org/officeDocument/2006/relationships/image" Target="../media/image40.png"/><Relationship Id="rId5" Type="http://schemas.openxmlformats.org/officeDocument/2006/relationships/image" Target="../media/image39.png"/><Relationship Id="rId4" Type="http://schemas.openxmlformats.org/officeDocument/2006/relationships/image" Target="../media/image38.png"/><Relationship Id="rId9" Type="http://schemas.openxmlformats.org/officeDocument/2006/relationships/image" Target="../media/image43.png"/></Relationships>
</file>

<file path=xl/drawings/_rels/drawing8.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9.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editAs="oneCell">
    <xdr:from>
      <xdr:col>9</xdr:col>
      <xdr:colOff>723900</xdr:colOff>
      <xdr:row>32</xdr:row>
      <xdr:rowOff>9525</xdr:rowOff>
    </xdr:from>
    <xdr:to>
      <xdr:col>12</xdr:col>
      <xdr:colOff>466197</xdr:colOff>
      <xdr:row>38</xdr:row>
      <xdr:rowOff>12225</xdr:rowOff>
    </xdr:to>
    <xdr:pic>
      <xdr:nvPicPr>
        <xdr:cNvPr id="3" name="Imagen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191375" y="7248525"/>
          <a:ext cx="2609322" cy="1260000"/>
        </a:xfrm>
        <a:prstGeom prst="rect">
          <a:avLst/>
        </a:prstGeom>
      </xdr:spPr>
    </xdr:pic>
    <xdr:clientData/>
  </xdr:twoCellAnchor>
  <xdr:twoCellAnchor editAs="oneCell">
    <xdr:from>
      <xdr:col>6</xdr:col>
      <xdr:colOff>235725</xdr:colOff>
      <xdr:row>33</xdr:row>
      <xdr:rowOff>76200</xdr:rowOff>
    </xdr:from>
    <xdr:to>
      <xdr:col>9</xdr:col>
      <xdr:colOff>657225</xdr:colOff>
      <xdr:row>36</xdr:row>
      <xdr:rowOff>152400</xdr:rowOff>
    </xdr:to>
    <xdr:pic>
      <xdr:nvPicPr>
        <xdr:cNvPr id="5" name="Imagen 4">
          <a:extLst>
            <a:ext uri="{FF2B5EF4-FFF2-40B4-BE49-F238E27FC236}">
              <a16:creationId xmlns:a16="http://schemas.microsoft.com/office/drawing/2014/main" id="{00000000-0008-0000-0000-000005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16097" r="10608" b="18640"/>
        <a:stretch/>
      </xdr:blipFill>
      <xdr:spPr>
        <a:xfrm>
          <a:off x="4807725" y="7524750"/>
          <a:ext cx="2316975" cy="704850"/>
        </a:xfrm>
        <a:prstGeom prst="rect">
          <a:avLst/>
        </a:prstGeom>
      </xdr:spPr>
    </xdr:pic>
    <xdr:clientData/>
  </xdr:twoCellAnchor>
  <xdr:twoCellAnchor editAs="oneCell">
    <xdr:from>
      <xdr:col>6</xdr:col>
      <xdr:colOff>409575</xdr:colOff>
      <xdr:row>28</xdr:row>
      <xdr:rowOff>31721</xdr:rowOff>
    </xdr:from>
    <xdr:to>
      <xdr:col>8</xdr:col>
      <xdr:colOff>247650</xdr:colOff>
      <xdr:row>31</xdr:row>
      <xdr:rowOff>196125</xdr:rowOff>
    </xdr:to>
    <xdr:pic>
      <xdr:nvPicPr>
        <xdr:cNvPr id="8" name="6 Imagen">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3"/>
        <a:srcRect/>
        <a:stretch>
          <a:fillRect/>
        </a:stretch>
      </xdr:blipFill>
      <xdr:spPr bwMode="auto">
        <a:xfrm>
          <a:off x="4981575" y="6432521"/>
          <a:ext cx="971550" cy="793054"/>
        </a:xfrm>
        <a:prstGeom prst="rect">
          <a:avLst/>
        </a:prstGeom>
        <a:noFill/>
        <a:ln w="9525">
          <a:noFill/>
          <a:miter lim="800000"/>
          <a:headEnd/>
          <a:tailEnd/>
        </a:ln>
      </xdr:spPr>
    </xdr:pic>
    <xdr:clientData/>
  </xdr:twoCellAnchor>
  <xdr:twoCellAnchor editAs="oneCell">
    <xdr:from>
      <xdr:col>4</xdr:col>
      <xdr:colOff>0</xdr:colOff>
      <xdr:row>28</xdr:row>
      <xdr:rowOff>146530</xdr:rowOff>
    </xdr:from>
    <xdr:to>
      <xdr:col>5</xdr:col>
      <xdr:colOff>598081</xdr:colOff>
      <xdr:row>31</xdr:row>
      <xdr:rowOff>183408</xdr:rowOff>
    </xdr:to>
    <xdr:pic>
      <xdr:nvPicPr>
        <xdr:cNvPr id="9" name="5 Imagen">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4"/>
        <a:srcRect/>
        <a:stretch>
          <a:fillRect/>
        </a:stretch>
      </xdr:blipFill>
      <xdr:spPr bwMode="auto">
        <a:xfrm>
          <a:off x="3048000" y="6547330"/>
          <a:ext cx="1472140" cy="665528"/>
        </a:xfrm>
        <a:prstGeom prst="rect">
          <a:avLst/>
        </a:prstGeom>
        <a:noFill/>
        <a:ln w="9525">
          <a:noFill/>
          <a:miter lim="800000"/>
          <a:headEnd/>
          <a:tailEnd/>
        </a:ln>
      </xdr:spPr>
    </xdr:pic>
    <xdr:clientData/>
  </xdr:twoCellAnchor>
  <xdr:twoCellAnchor editAs="oneCell">
    <xdr:from>
      <xdr:col>10</xdr:col>
      <xdr:colOff>1181099</xdr:colOff>
      <xdr:row>26</xdr:row>
      <xdr:rowOff>66675</xdr:rowOff>
    </xdr:from>
    <xdr:to>
      <xdr:col>13</xdr:col>
      <xdr:colOff>76199</xdr:colOff>
      <xdr:row>33</xdr:row>
      <xdr:rowOff>9525</xdr:rowOff>
    </xdr:to>
    <xdr:pic>
      <xdr:nvPicPr>
        <xdr:cNvPr id="11" name="Imagen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410574" y="6048375"/>
          <a:ext cx="1762125" cy="1409700"/>
        </a:xfrm>
        <a:prstGeom prst="rect">
          <a:avLst/>
        </a:prstGeom>
      </xdr:spPr>
    </xdr:pic>
    <xdr:clientData/>
  </xdr:twoCellAnchor>
  <xdr:twoCellAnchor editAs="oneCell">
    <xdr:from>
      <xdr:col>1</xdr:col>
      <xdr:colOff>104775</xdr:colOff>
      <xdr:row>26</xdr:row>
      <xdr:rowOff>161924</xdr:rowOff>
    </xdr:from>
    <xdr:to>
      <xdr:col>3</xdr:col>
      <xdr:colOff>498456</xdr:colOff>
      <xdr:row>35</xdr:row>
      <xdr:rowOff>75974</xdr:rowOff>
    </xdr:to>
    <xdr:pic>
      <xdr:nvPicPr>
        <xdr:cNvPr id="12" name="Picture 5">
          <a:extLst>
            <a:ext uri="{FF2B5EF4-FFF2-40B4-BE49-F238E27FC236}">
              <a16:creationId xmlns:a16="http://schemas.microsoft.com/office/drawing/2014/main" id="{00000000-0008-0000-0000-00000C000000}"/>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68825" t="34245"/>
        <a:stretch/>
      </xdr:blipFill>
      <xdr:spPr bwMode="auto">
        <a:xfrm>
          <a:off x="866775" y="6143624"/>
          <a:ext cx="1917681" cy="180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19049</xdr:colOff>
      <xdr:row>34</xdr:row>
      <xdr:rowOff>25774</xdr:rowOff>
    </xdr:from>
    <xdr:to>
      <xdr:col>5</xdr:col>
      <xdr:colOff>547527</xdr:colOff>
      <xdr:row>36</xdr:row>
      <xdr:rowOff>105812</xdr:rowOff>
    </xdr:to>
    <xdr:pic>
      <xdr:nvPicPr>
        <xdr:cNvPr id="10" name="Picture 9">
          <a:extLst>
            <a:ext uri="{FF2B5EF4-FFF2-40B4-BE49-F238E27FC236}">
              <a16:creationId xmlns:a16="http://schemas.microsoft.com/office/drawing/2014/main" id="{8457A18B-218F-4C9A-B195-E6CC6FC032A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067049" y="7683874"/>
          <a:ext cx="1402537" cy="4991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581025</xdr:colOff>
      <xdr:row>28</xdr:row>
      <xdr:rowOff>190500</xdr:rowOff>
    </xdr:from>
    <xdr:to>
      <xdr:col>10</xdr:col>
      <xdr:colOff>1116755</xdr:colOff>
      <xdr:row>31</xdr:row>
      <xdr:rowOff>39136</xdr:rowOff>
    </xdr:to>
    <xdr:pic>
      <xdr:nvPicPr>
        <xdr:cNvPr id="13" name="Picture 12">
          <a:extLst>
            <a:ext uri="{FF2B5EF4-FFF2-40B4-BE49-F238E27FC236}">
              <a16:creationId xmlns:a16="http://schemas.microsoft.com/office/drawing/2014/main" id="{890179E8-DA31-40B7-927B-E820DB57C991}"/>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286500" y="6591300"/>
          <a:ext cx="2059730" cy="477286"/>
        </a:xfrm>
        <a:prstGeom prst="rect">
          <a:avLst/>
        </a:prstGeom>
        <a:noFill/>
        <a:ln>
          <a:noFill/>
        </a:ln>
      </xdr:spPr>
    </xdr:pic>
    <xdr:clientData/>
  </xdr:twoCellAnchor>
  <xdr:twoCellAnchor editAs="oneCell">
    <xdr:from>
      <xdr:col>15</xdr:col>
      <xdr:colOff>224118</xdr:colOff>
      <xdr:row>3</xdr:row>
      <xdr:rowOff>44824</xdr:rowOff>
    </xdr:from>
    <xdr:to>
      <xdr:col>17</xdr:col>
      <xdr:colOff>537883</xdr:colOff>
      <xdr:row>12</xdr:row>
      <xdr:rowOff>200453</xdr:rowOff>
    </xdr:to>
    <xdr:pic>
      <xdr:nvPicPr>
        <xdr:cNvPr id="6" name="Picture 5">
          <a:extLst>
            <a:ext uri="{FF2B5EF4-FFF2-40B4-BE49-F238E27FC236}">
              <a16:creationId xmlns:a16="http://schemas.microsoft.com/office/drawing/2014/main" id="{2764D318-B518-738B-B39C-02BC96B3AC9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295530" y="750795"/>
          <a:ext cx="1837765" cy="237439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126</xdr:row>
      <xdr:rowOff>0</xdr:rowOff>
    </xdr:from>
    <xdr:to>
      <xdr:col>4</xdr:col>
      <xdr:colOff>448796</xdr:colOff>
      <xdr:row>130</xdr:row>
      <xdr:rowOff>40962</xdr:rowOff>
    </xdr:to>
    <xdr:pic>
      <xdr:nvPicPr>
        <xdr:cNvPr id="2" name="Picture 1">
          <a:extLst>
            <a:ext uri="{FF2B5EF4-FFF2-40B4-BE49-F238E27FC236}">
              <a16:creationId xmlns:a16="http://schemas.microsoft.com/office/drawing/2014/main" id="{614350F8-7295-415F-A441-BCD457D6BF6C}"/>
            </a:ext>
          </a:extLst>
        </xdr:cNvPr>
        <xdr:cNvPicPr>
          <a:picLocks noChangeAspect="1"/>
        </xdr:cNvPicPr>
      </xdr:nvPicPr>
      <xdr:blipFill>
        <a:blip xmlns:r="http://schemas.openxmlformats.org/officeDocument/2006/relationships" r:embed="rId1"/>
        <a:stretch>
          <a:fillRect/>
        </a:stretch>
      </xdr:blipFill>
      <xdr:spPr>
        <a:xfrm>
          <a:off x="609600" y="18888075"/>
          <a:ext cx="4477871" cy="802962"/>
        </a:xfrm>
        <a:prstGeom prst="rect">
          <a:avLst/>
        </a:prstGeom>
      </xdr:spPr>
    </xdr:pic>
    <xdr:clientData/>
  </xdr:twoCellAnchor>
  <xdr:twoCellAnchor editAs="oneCell">
    <xdr:from>
      <xdr:col>4</xdr:col>
      <xdr:colOff>114300</xdr:colOff>
      <xdr:row>158</xdr:row>
      <xdr:rowOff>38100</xdr:rowOff>
    </xdr:from>
    <xdr:to>
      <xdr:col>7</xdr:col>
      <xdr:colOff>378314</xdr:colOff>
      <xdr:row>160</xdr:row>
      <xdr:rowOff>62646</xdr:rowOff>
    </xdr:to>
    <xdr:pic>
      <xdr:nvPicPr>
        <xdr:cNvPr id="3" name="Picture 2">
          <a:extLst>
            <a:ext uri="{FF2B5EF4-FFF2-40B4-BE49-F238E27FC236}">
              <a16:creationId xmlns:a16="http://schemas.microsoft.com/office/drawing/2014/main" id="{980EDEDD-9032-4CA6-8329-9DC70E7257DF}"/>
            </a:ext>
          </a:extLst>
        </xdr:cNvPr>
        <xdr:cNvPicPr>
          <a:picLocks noChangeAspect="1"/>
        </xdr:cNvPicPr>
      </xdr:nvPicPr>
      <xdr:blipFill>
        <a:blip xmlns:r="http://schemas.openxmlformats.org/officeDocument/2006/relationships" r:embed="rId2"/>
        <a:stretch>
          <a:fillRect/>
        </a:stretch>
      </xdr:blipFill>
      <xdr:spPr>
        <a:xfrm>
          <a:off x="4752975" y="22879050"/>
          <a:ext cx="3569189" cy="853221"/>
        </a:xfrm>
        <a:prstGeom prst="rect">
          <a:avLst/>
        </a:prstGeom>
      </xdr:spPr>
    </xdr:pic>
    <xdr:clientData/>
  </xdr:twoCellAnchor>
  <xdr:twoCellAnchor editAs="oneCell">
    <xdr:from>
      <xdr:col>3</xdr:col>
      <xdr:colOff>495300</xdr:colOff>
      <xdr:row>170</xdr:row>
      <xdr:rowOff>190500</xdr:rowOff>
    </xdr:from>
    <xdr:to>
      <xdr:col>6</xdr:col>
      <xdr:colOff>387164</xdr:colOff>
      <xdr:row>173</xdr:row>
      <xdr:rowOff>43865</xdr:rowOff>
    </xdr:to>
    <xdr:pic>
      <xdr:nvPicPr>
        <xdr:cNvPr id="4" name="Picture 3">
          <a:extLst>
            <a:ext uri="{FF2B5EF4-FFF2-40B4-BE49-F238E27FC236}">
              <a16:creationId xmlns:a16="http://schemas.microsoft.com/office/drawing/2014/main" id="{C84FEFE9-B475-4663-9F91-35CA047D929E}"/>
            </a:ext>
          </a:extLst>
        </xdr:cNvPr>
        <xdr:cNvPicPr>
          <a:picLocks noChangeAspect="1"/>
        </xdr:cNvPicPr>
      </xdr:nvPicPr>
      <xdr:blipFill>
        <a:blip xmlns:r="http://schemas.openxmlformats.org/officeDocument/2006/relationships" r:embed="rId3"/>
        <a:stretch>
          <a:fillRect/>
        </a:stretch>
      </xdr:blipFill>
      <xdr:spPr>
        <a:xfrm>
          <a:off x="3800475" y="25993725"/>
          <a:ext cx="3482789" cy="720140"/>
        </a:xfrm>
        <a:prstGeom prst="rect">
          <a:avLst/>
        </a:prstGeom>
      </xdr:spPr>
    </xdr:pic>
    <xdr:clientData/>
  </xdr:twoCellAnchor>
  <xdr:twoCellAnchor editAs="oneCell">
    <xdr:from>
      <xdr:col>3</xdr:col>
      <xdr:colOff>485775</xdr:colOff>
      <xdr:row>179</xdr:row>
      <xdr:rowOff>104775</xdr:rowOff>
    </xdr:from>
    <xdr:to>
      <xdr:col>6</xdr:col>
      <xdr:colOff>472887</xdr:colOff>
      <xdr:row>180</xdr:row>
      <xdr:rowOff>448236</xdr:rowOff>
    </xdr:to>
    <xdr:pic>
      <xdr:nvPicPr>
        <xdr:cNvPr id="5" name="Picture 4">
          <a:extLst>
            <a:ext uri="{FF2B5EF4-FFF2-40B4-BE49-F238E27FC236}">
              <a16:creationId xmlns:a16="http://schemas.microsoft.com/office/drawing/2014/main" id="{8E76D11B-A5C1-4710-9789-7483A6D90539}"/>
            </a:ext>
          </a:extLst>
        </xdr:cNvPr>
        <xdr:cNvPicPr>
          <a:picLocks noChangeAspect="1"/>
        </xdr:cNvPicPr>
      </xdr:nvPicPr>
      <xdr:blipFill>
        <a:blip xmlns:r="http://schemas.openxmlformats.org/officeDocument/2006/relationships" r:embed="rId4"/>
        <a:stretch>
          <a:fillRect/>
        </a:stretch>
      </xdr:blipFill>
      <xdr:spPr>
        <a:xfrm>
          <a:off x="3790950" y="28470225"/>
          <a:ext cx="3578037" cy="724461"/>
        </a:xfrm>
        <a:prstGeom prst="rect">
          <a:avLst/>
        </a:prstGeom>
      </xdr:spPr>
    </xdr:pic>
    <xdr:clientData/>
  </xdr:twoCellAnchor>
  <xdr:twoCellAnchor>
    <xdr:from>
      <xdr:col>4</xdr:col>
      <xdr:colOff>714375</xdr:colOff>
      <xdr:row>251</xdr:row>
      <xdr:rowOff>161925</xdr:rowOff>
    </xdr:from>
    <xdr:to>
      <xdr:col>7</xdr:col>
      <xdr:colOff>914399</xdr:colOff>
      <xdr:row>259</xdr:row>
      <xdr:rowOff>166689</xdr:rowOff>
    </xdr:to>
    <xdr:graphicFrame macro="">
      <xdr:nvGraphicFramePr>
        <xdr:cNvPr id="6" name="Chart 5">
          <a:extLst>
            <a:ext uri="{FF2B5EF4-FFF2-40B4-BE49-F238E27FC236}">
              <a16:creationId xmlns:a16="http://schemas.microsoft.com/office/drawing/2014/main" id="{FEAB6231-2DB7-4A5A-9EB3-E32E06A716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10</xdr:col>
      <xdr:colOff>100854</xdr:colOff>
      <xdr:row>19</xdr:row>
      <xdr:rowOff>78441</xdr:rowOff>
    </xdr:from>
    <xdr:to>
      <xdr:col>16</xdr:col>
      <xdr:colOff>257736</xdr:colOff>
      <xdr:row>30</xdr:row>
      <xdr:rowOff>188259</xdr:rowOff>
    </xdr:to>
    <xdr:graphicFrame macro="">
      <xdr:nvGraphicFramePr>
        <xdr:cNvPr id="2" name="Chart 1">
          <a:extLst>
            <a:ext uri="{FF2B5EF4-FFF2-40B4-BE49-F238E27FC236}">
              <a16:creationId xmlns:a16="http://schemas.microsoft.com/office/drawing/2014/main" id="{000D105B-44E4-4145-8942-CE71ABDDE5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134471</xdr:colOff>
      <xdr:row>34</xdr:row>
      <xdr:rowOff>112060</xdr:rowOff>
    </xdr:from>
    <xdr:to>
      <xdr:col>17</xdr:col>
      <xdr:colOff>470648</xdr:colOff>
      <xdr:row>46</xdr:row>
      <xdr:rowOff>8966</xdr:rowOff>
    </xdr:to>
    <xdr:graphicFrame macro="">
      <xdr:nvGraphicFramePr>
        <xdr:cNvPr id="3" name="Chart 2">
          <a:extLst>
            <a:ext uri="{FF2B5EF4-FFF2-40B4-BE49-F238E27FC236}">
              <a16:creationId xmlns:a16="http://schemas.microsoft.com/office/drawing/2014/main" id="{5C694602-EBBE-4E1C-AFCB-0A274DA729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593911</xdr:colOff>
      <xdr:row>147</xdr:row>
      <xdr:rowOff>0</xdr:rowOff>
    </xdr:from>
    <xdr:to>
      <xdr:col>15</xdr:col>
      <xdr:colOff>268940</xdr:colOff>
      <xdr:row>156</xdr:row>
      <xdr:rowOff>190500</xdr:rowOff>
    </xdr:to>
    <xdr:graphicFrame macro="">
      <xdr:nvGraphicFramePr>
        <xdr:cNvPr id="4" name="Chart 3">
          <a:extLst>
            <a:ext uri="{FF2B5EF4-FFF2-40B4-BE49-F238E27FC236}">
              <a16:creationId xmlns:a16="http://schemas.microsoft.com/office/drawing/2014/main" id="{D6ADB4F6-3906-417F-A806-ED7EB5055D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414617</xdr:colOff>
      <xdr:row>147</xdr:row>
      <xdr:rowOff>0</xdr:rowOff>
    </xdr:from>
    <xdr:to>
      <xdr:col>20</xdr:col>
      <xdr:colOff>571500</xdr:colOff>
      <xdr:row>156</xdr:row>
      <xdr:rowOff>185739</xdr:rowOff>
    </xdr:to>
    <xdr:graphicFrame macro="">
      <xdr:nvGraphicFramePr>
        <xdr:cNvPr id="5" name="Chart 4">
          <a:extLst>
            <a:ext uri="{FF2B5EF4-FFF2-40B4-BE49-F238E27FC236}">
              <a16:creationId xmlns:a16="http://schemas.microsoft.com/office/drawing/2014/main" id="{F9200855-3A59-480C-9370-31BAE9C67D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67236</xdr:colOff>
      <xdr:row>64</xdr:row>
      <xdr:rowOff>22412</xdr:rowOff>
    </xdr:from>
    <xdr:to>
      <xdr:col>17</xdr:col>
      <xdr:colOff>403411</xdr:colOff>
      <xdr:row>76</xdr:row>
      <xdr:rowOff>190501</xdr:rowOff>
    </xdr:to>
    <xdr:graphicFrame macro="">
      <xdr:nvGraphicFramePr>
        <xdr:cNvPr id="6" name="Chart 5">
          <a:extLst>
            <a:ext uri="{FF2B5EF4-FFF2-40B4-BE49-F238E27FC236}">
              <a16:creationId xmlns:a16="http://schemas.microsoft.com/office/drawing/2014/main" id="{5F993740-BD57-4BDB-9CEA-DA460B36B7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504825</xdr:colOff>
      <xdr:row>189</xdr:row>
      <xdr:rowOff>9525</xdr:rowOff>
    </xdr:from>
    <xdr:to>
      <xdr:col>16</xdr:col>
      <xdr:colOff>323850</xdr:colOff>
      <xdr:row>201</xdr:row>
      <xdr:rowOff>47625</xdr:rowOff>
    </xdr:to>
    <xdr:graphicFrame macro="">
      <xdr:nvGraphicFramePr>
        <xdr:cNvPr id="7" name="Chart 6">
          <a:extLst>
            <a:ext uri="{FF2B5EF4-FFF2-40B4-BE49-F238E27FC236}">
              <a16:creationId xmlns:a16="http://schemas.microsoft.com/office/drawing/2014/main" id="{47FDE240-927D-4486-BDFA-C5FC028509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447675</xdr:colOff>
      <xdr:row>188</xdr:row>
      <xdr:rowOff>190500</xdr:rowOff>
    </xdr:from>
    <xdr:to>
      <xdr:col>21</xdr:col>
      <xdr:colOff>381000</xdr:colOff>
      <xdr:row>201</xdr:row>
      <xdr:rowOff>28575</xdr:rowOff>
    </xdr:to>
    <xdr:graphicFrame macro="">
      <xdr:nvGraphicFramePr>
        <xdr:cNvPr id="8" name="Chart 7">
          <a:extLst>
            <a:ext uri="{FF2B5EF4-FFF2-40B4-BE49-F238E27FC236}">
              <a16:creationId xmlns:a16="http://schemas.microsoft.com/office/drawing/2014/main" id="{28389620-0869-4FE2-8791-6306F9F3A4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4</xdr:col>
      <xdr:colOff>0</xdr:colOff>
      <xdr:row>202</xdr:row>
      <xdr:rowOff>9525</xdr:rowOff>
    </xdr:from>
    <xdr:to>
      <xdr:col>6</xdr:col>
      <xdr:colOff>361950</xdr:colOff>
      <xdr:row>210</xdr:row>
      <xdr:rowOff>180975</xdr:rowOff>
    </xdr:to>
    <xdr:graphicFrame macro="">
      <xdr:nvGraphicFramePr>
        <xdr:cNvPr id="2" name="Chart 1">
          <a:extLst>
            <a:ext uri="{FF2B5EF4-FFF2-40B4-BE49-F238E27FC236}">
              <a16:creationId xmlns:a16="http://schemas.microsoft.com/office/drawing/2014/main" id="{D9A1C6D6-8BB9-4E7F-8DB6-4BBD89B49D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495300</xdr:colOff>
      <xdr:row>201</xdr:row>
      <xdr:rowOff>190500</xdr:rowOff>
    </xdr:from>
    <xdr:to>
      <xdr:col>9</xdr:col>
      <xdr:colOff>95250</xdr:colOff>
      <xdr:row>210</xdr:row>
      <xdr:rowOff>195263</xdr:rowOff>
    </xdr:to>
    <xdr:graphicFrame macro="">
      <xdr:nvGraphicFramePr>
        <xdr:cNvPr id="3" name="Chart 2">
          <a:extLst>
            <a:ext uri="{FF2B5EF4-FFF2-40B4-BE49-F238E27FC236}">
              <a16:creationId xmlns:a16="http://schemas.microsoft.com/office/drawing/2014/main" id="{4D0B2AC1-A463-4A9E-B122-DD12CA0AF2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1949824</xdr:colOff>
      <xdr:row>21</xdr:row>
      <xdr:rowOff>145677</xdr:rowOff>
    </xdr:from>
    <xdr:to>
      <xdr:col>4</xdr:col>
      <xdr:colOff>15575</xdr:colOff>
      <xdr:row>42</xdr:row>
      <xdr:rowOff>112060</xdr:rowOff>
    </xdr:to>
    <xdr:pic>
      <xdr:nvPicPr>
        <xdr:cNvPr id="3" name="Picture 2">
          <a:extLst>
            <a:ext uri="{FF2B5EF4-FFF2-40B4-BE49-F238E27FC236}">
              <a16:creationId xmlns:a16="http://schemas.microsoft.com/office/drawing/2014/main" id="{03955D44-4D41-7ED6-AB5F-9D1E70F7F0EA}"/>
            </a:ext>
          </a:extLst>
        </xdr:cNvPr>
        <xdr:cNvPicPr>
          <a:picLocks noChangeAspect="1"/>
        </xdr:cNvPicPr>
      </xdr:nvPicPr>
      <xdr:blipFill>
        <a:blip xmlns:r="http://schemas.openxmlformats.org/officeDocument/2006/relationships" r:embed="rId1"/>
        <a:stretch>
          <a:fillRect/>
        </a:stretch>
      </xdr:blipFill>
      <xdr:spPr>
        <a:xfrm>
          <a:off x="2711824" y="5233148"/>
          <a:ext cx="5147869" cy="44375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123823</xdr:colOff>
      <xdr:row>3</xdr:row>
      <xdr:rowOff>28575</xdr:rowOff>
    </xdr:from>
    <xdr:to>
      <xdr:col>3</xdr:col>
      <xdr:colOff>667759</xdr:colOff>
      <xdr:row>5</xdr:row>
      <xdr:rowOff>96525</xdr:rowOff>
    </xdr:to>
    <xdr:pic>
      <xdr:nvPicPr>
        <xdr:cNvPr id="3" name="Imagen 2">
          <a:extLst>
            <a:ext uri="{FF2B5EF4-FFF2-40B4-BE49-F238E27FC236}">
              <a16:creationId xmlns:a16="http://schemas.microsoft.com/office/drawing/2014/main" id="{00000000-0008-0000-0400-00000300000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13961"/>
        <a:stretch/>
      </xdr:blipFill>
      <xdr:spPr>
        <a:xfrm>
          <a:off x="4772023" y="476250"/>
          <a:ext cx="543936" cy="468000"/>
        </a:xfrm>
        <a:prstGeom prst="rect">
          <a:avLst/>
        </a:prstGeom>
      </xdr:spPr>
    </xdr:pic>
    <xdr:clientData/>
  </xdr:twoCellAnchor>
  <xdr:twoCellAnchor editAs="oneCell">
    <xdr:from>
      <xdr:col>4</xdr:col>
      <xdr:colOff>152400</xdr:colOff>
      <xdr:row>28</xdr:row>
      <xdr:rowOff>161925</xdr:rowOff>
    </xdr:from>
    <xdr:to>
      <xdr:col>4</xdr:col>
      <xdr:colOff>697720</xdr:colOff>
      <xdr:row>31</xdr:row>
      <xdr:rowOff>29850</xdr:rowOff>
    </xdr:to>
    <xdr:pic>
      <xdr:nvPicPr>
        <xdr:cNvPr id="4" name="Imagen 3">
          <a:extLst>
            <a:ext uri="{FF2B5EF4-FFF2-40B4-BE49-F238E27FC236}">
              <a16:creationId xmlns:a16="http://schemas.microsoft.com/office/drawing/2014/main" id="{00000000-0008-0000-0400-000004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14178"/>
        <a:stretch/>
      </xdr:blipFill>
      <xdr:spPr>
        <a:xfrm>
          <a:off x="7817224" y="8857690"/>
          <a:ext cx="545320" cy="473043"/>
        </a:xfrm>
        <a:prstGeom prst="rect">
          <a:avLst/>
        </a:prstGeom>
      </xdr:spPr>
    </xdr:pic>
    <xdr:clientData/>
  </xdr:twoCellAnchor>
  <xdr:twoCellAnchor editAs="oneCell">
    <xdr:from>
      <xdr:col>4</xdr:col>
      <xdr:colOff>723900</xdr:colOff>
      <xdr:row>28</xdr:row>
      <xdr:rowOff>114300</xdr:rowOff>
    </xdr:from>
    <xdr:to>
      <xdr:col>4</xdr:col>
      <xdr:colOff>1332280</xdr:colOff>
      <xdr:row>31</xdr:row>
      <xdr:rowOff>18225</xdr:rowOff>
    </xdr:to>
    <xdr:pic>
      <xdr:nvPicPr>
        <xdr:cNvPr id="6" name="Imagen 5">
          <a:extLst>
            <a:ext uri="{FF2B5EF4-FFF2-40B4-BE49-F238E27FC236}">
              <a16:creationId xmlns:a16="http://schemas.microsoft.com/office/drawing/2014/main" id="{00000000-0008-0000-0400-0000060000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17157"/>
        <a:stretch/>
      </xdr:blipFill>
      <xdr:spPr>
        <a:xfrm>
          <a:off x="8388724" y="8810065"/>
          <a:ext cx="608380" cy="509043"/>
        </a:xfrm>
        <a:prstGeom prst="rect">
          <a:avLst/>
        </a:prstGeom>
      </xdr:spPr>
    </xdr:pic>
    <xdr:clientData/>
  </xdr:twoCellAnchor>
  <xdr:twoCellAnchor editAs="oneCell">
    <xdr:from>
      <xdr:col>3</xdr:col>
      <xdr:colOff>257175</xdr:colOff>
      <xdr:row>85</xdr:row>
      <xdr:rowOff>133350</xdr:rowOff>
    </xdr:from>
    <xdr:to>
      <xdr:col>3</xdr:col>
      <xdr:colOff>903275</xdr:colOff>
      <xdr:row>88</xdr:row>
      <xdr:rowOff>73277</xdr:rowOff>
    </xdr:to>
    <xdr:pic>
      <xdr:nvPicPr>
        <xdr:cNvPr id="8" name="Imagen 7">
          <a:extLst>
            <a:ext uri="{FF2B5EF4-FFF2-40B4-BE49-F238E27FC236}">
              <a16:creationId xmlns:a16="http://schemas.microsoft.com/office/drawing/2014/main" id="{00000000-0008-0000-0400-000008000000}"/>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16422"/>
        <a:stretch/>
      </xdr:blipFill>
      <xdr:spPr>
        <a:xfrm>
          <a:off x="4907616" y="25144879"/>
          <a:ext cx="646100" cy="545043"/>
        </a:xfrm>
        <a:prstGeom prst="rect">
          <a:avLst/>
        </a:prstGeom>
      </xdr:spPr>
    </xdr:pic>
    <xdr:clientData/>
  </xdr:twoCellAnchor>
  <xdr:twoCellAnchor editAs="oneCell">
    <xdr:from>
      <xdr:col>3</xdr:col>
      <xdr:colOff>1085851</xdr:colOff>
      <xdr:row>85</xdr:row>
      <xdr:rowOff>95250</xdr:rowOff>
    </xdr:from>
    <xdr:to>
      <xdr:col>3</xdr:col>
      <xdr:colOff>1714502</xdr:colOff>
      <xdr:row>88</xdr:row>
      <xdr:rowOff>35177</xdr:rowOff>
    </xdr:to>
    <xdr:pic>
      <xdr:nvPicPr>
        <xdr:cNvPr id="9" name="Imagen 8">
          <a:extLst>
            <a:ext uri="{FF2B5EF4-FFF2-40B4-BE49-F238E27FC236}">
              <a16:creationId xmlns:a16="http://schemas.microsoft.com/office/drawing/2014/main" id="{00000000-0008-0000-0400-000009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14101"/>
        <a:stretch/>
      </xdr:blipFill>
      <xdr:spPr>
        <a:xfrm>
          <a:off x="5736292" y="25106779"/>
          <a:ext cx="628651" cy="545043"/>
        </a:xfrm>
        <a:prstGeom prst="rect">
          <a:avLst/>
        </a:prstGeom>
      </xdr:spPr>
    </xdr:pic>
    <xdr:clientData/>
  </xdr:twoCellAnchor>
  <xdr:twoCellAnchor editAs="oneCell">
    <xdr:from>
      <xdr:col>4</xdr:col>
      <xdr:colOff>209551</xdr:colOff>
      <xdr:row>106</xdr:row>
      <xdr:rowOff>104775</xdr:rowOff>
    </xdr:from>
    <xdr:to>
      <xdr:col>4</xdr:col>
      <xdr:colOff>831804</xdr:colOff>
      <xdr:row>109</xdr:row>
      <xdr:rowOff>44701</xdr:rowOff>
    </xdr:to>
    <xdr:pic>
      <xdr:nvPicPr>
        <xdr:cNvPr id="12" name="Imagen 11">
          <a:extLst>
            <a:ext uri="{FF2B5EF4-FFF2-40B4-BE49-F238E27FC236}">
              <a16:creationId xmlns:a16="http://schemas.microsoft.com/office/drawing/2014/main" id="{00000000-0008-0000-0400-00000C000000}"/>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b="13219"/>
        <a:stretch/>
      </xdr:blipFill>
      <xdr:spPr>
        <a:xfrm>
          <a:off x="7874375" y="31021804"/>
          <a:ext cx="622253" cy="545044"/>
        </a:xfrm>
        <a:prstGeom prst="rect">
          <a:avLst/>
        </a:prstGeom>
      </xdr:spPr>
    </xdr:pic>
    <xdr:clientData/>
  </xdr:twoCellAnchor>
  <xdr:twoCellAnchor editAs="oneCell">
    <xdr:from>
      <xdr:col>4</xdr:col>
      <xdr:colOff>942975</xdr:colOff>
      <xdr:row>106</xdr:row>
      <xdr:rowOff>49111</xdr:rowOff>
    </xdr:from>
    <xdr:to>
      <xdr:col>4</xdr:col>
      <xdr:colOff>1666875</xdr:colOff>
      <xdr:row>109</xdr:row>
      <xdr:rowOff>44701</xdr:rowOff>
    </xdr:to>
    <xdr:pic>
      <xdr:nvPicPr>
        <xdr:cNvPr id="14" name="Imagen 13">
          <a:extLst>
            <a:ext uri="{FF2B5EF4-FFF2-40B4-BE49-F238E27FC236}">
              <a16:creationId xmlns:a16="http://schemas.microsoft.com/office/drawing/2014/main" id="{00000000-0008-0000-0400-00000E00000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b="17714"/>
        <a:stretch/>
      </xdr:blipFill>
      <xdr:spPr>
        <a:xfrm>
          <a:off x="8607799" y="30966140"/>
          <a:ext cx="723900" cy="600708"/>
        </a:xfrm>
        <a:prstGeom prst="rect">
          <a:avLst/>
        </a:prstGeom>
      </xdr:spPr>
    </xdr:pic>
    <xdr:clientData/>
  </xdr:twoCellAnchor>
  <xdr:twoCellAnchor editAs="oneCell">
    <xdr:from>
      <xdr:col>3</xdr:col>
      <xdr:colOff>170887</xdr:colOff>
      <xdr:row>51</xdr:row>
      <xdr:rowOff>228600</xdr:rowOff>
    </xdr:from>
    <xdr:to>
      <xdr:col>3</xdr:col>
      <xdr:colOff>999442</xdr:colOff>
      <xdr:row>55</xdr:row>
      <xdr:rowOff>78921</xdr:rowOff>
    </xdr:to>
    <xdr:pic>
      <xdr:nvPicPr>
        <xdr:cNvPr id="2" name="Imagen 1">
          <a:extLst>
            <a:ext uri="{FF2B5EF4-FFF2-40B4-BE49-F238E27FC236}">
              <a16:creationId xmlns:a16="http://schemas.microsoft.com/office/drawing/2014/main" id="{00000000-0008-0000-0400-000002000000}"/>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b="13297"/>
        <a:stretch/>
      </xdr:blipFill>
      <xdr:spPr>
        <a:xfrm>
          <a:off x="4821328" y="16185776"/>
          <a:ext cx="828555" cy="7019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161925</xdr:colOff>
      <xdr:row>2</xdr:row>
      <xdr:rowOff>219075</xdr:rowOff>
    </xdr:from>
    <xdr:to>
      <xdr:col>3</xdr:col>
      <xdr:colOff>883770</xdr:colOff>
      <xdr:row>5</xdr:row>
      <xdr:rowOff>111375</xdr:rowOff>
    </xdr:to>
    <xdr:pic>
      <xdr:nvPicPr>
        <xdr:cNvPr id="10" name="Imagen 9">
          <a:extLst>
            <a:ext uri="{FF2B5EF4-FFF2-40B4-BE49-F238E27FC236}">
              <a16:creationId xmlns:a16="http://schemas.microsoft.com/office/drawing/2014/main" id="{00000000-0008-0000-0500-00000A00000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25191"/>
        <a:stretch/>
      </xdr:blipFill>
      <xdr:spPr>
        <a:xfrm>
          <a:off x="4810125" y="419100"/>
          <a:ext cx="721845" cy="540000"/>
        </a:xfrm>
        <a:prstGeom prst="rect">
          <a:avLst/>
        </a:prstGeom>
      </xdr:spPr>
    </xdr:pic>
    <xdr:clientData/>
  </xdr:twoCellAnchor>
  <xdr:twoCellAnchor editAs="oneCell">
    <xdr:from>
      <xdr:col>3</xdr:col>
      <xdr:colOff>952501</xdr:colOff>
      <xdr:row>2</xdr:row>
      <xdr:rowOff>228600</xdr:rowOff>
    </xdr:from>
    <xdr:to>
      <xdr:col>3</xdr:col>
      <xdr:colOff>1649448</xdr:colOff>
      <xdr:row>5</xdr:row>
      <xdr:rowOff>120900</xdr:rowOff>
    </xdr:to>
    <xdr:pic>
      <xdr:nvPicPr>
        <xdr:cNvPr id="11" name="Imagen 10">
          <a:extLst>
            <a:ext uri="{FF2B5EF4-FFF2-40B4-BE49-F238E27FC236}">
              <a16:creationId xmlns:a16="http://schemas.microsoft.com/office/drawing/2014/main" id="{00000000-0008-0000-0500-00000B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22519"/>
        <a:stretch/>
      </xdr:blipFill>
      <xdr:spPr>
        <a:xfrm>
          <a:off x="5600701" y="428625"/>
          <a:ext cx="696947" cy="540000"/>
        </a:xfrm>
        <a:prstGeom prst="rect">
          <a:avLst/>
        </a:prstGeom>
      </xdr:spPr>
    </xdr:pic>
    <xdr:clientData/>
  </xdr:twoCellAnchor>
  <xdr:twoCellAnchor editAs="oneCell">
    <xdr:from>
      <xdr:col>3</xdr:col>
      <xdr:colOff>1666876</xdr:colOff>
      <xdr:row>2</xdr:row>
      <xdr:rowOff>171450</xdr:rowOff>
    </xdr:from>
    <xdr:to>
      <xdr:col>3</xdr:col>
      <xdr:colOff>2463693</xdr:colOff>
      <xdr:row>5</xdr:row>
      <xdr:rowOff>63750</xdr:rowOff>
    </xdr:to>
    <xdr:pic>
      <xdr:nvPicPr>
        <xdr:cNvPr id="13" name="Imagen 12">
          <a:extLst>
            <a:ext uri="{FF2B5EF4-FFF2-40B4-BE49-F238E27FC236}">
              <a16:creationId xmlns:a16="http://schemas.microsoft.com/office/drawing/2014/main" id="{00000000-0008-0000-0500-00000D0000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32230"/>
        <a:stretch/>
      </xdr:blipFill>
      <xdr:spPr>
        <a:xfrm>
          <a:off x="6315076" y="371475"/>
          <a:ext cx="796817" cy="540000"/>
        </a:xfrm>
        <a:prstGeom prst="rect">
          <a:avLst/>
        </a:prstGeom>
      </xdr:spPr>
    </xdr:pic>
    <xdr:clientData/>
  </xdr:twoCellAnchor>
  <xdr:twoCellAnchor editAs="oneCell">
    <xdr:from>
      <xdr:col>3</xdr:col>
      <xdr:colOff>180975</xdr:colOff>
      <xdr:row>52</xdr:row>
      <xdr:rowOff>133350</xdr:rowOff>
    </xdr:from>
    <xdr:to>
      <xdr:col>3</xdr:col>
      <xdr:colOff>806508</xdr:colOff>
      <xdr:row>55</xdr:row>
      <xdr:rowOff>73274</xdr:rowOff>
    </xdr:to>
    <xdr:pic>
      <xdr:nvPicPr>
        <xdr:cNvPr id="14" name="Imagen 13">
          <a:extLst>
            <a:ext uri="{FF2B5EF4-FFF2-40B4-BE49-F238E27FC236}">
              <a16:creationId xmlns:a16="http://schemas.microsoft.com/office/drawing/2014/main" id="{00000000-0008-0000-0500-00000E000000}"/>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13674"/>
        <a:stretch/>
      </xdr:blipFill>
      <xdr:spPr>
        <a:xfrm>
          <a:off x="4997904" y="31470600"/>
          <a:ext cx="625533" cy="552246"/>
        </a:xfrm>
        <a:prstGeom prst="rect">
          <a:avLst/>
        </a:prstGeom>
      </xdr:spPr>
    </xdr:pic>
    <xdr:clientData/>
  </xdr:twoCellAnchor>
  <xdr:twoCellAnchor editAs="oneCell">
    <xdr:from>
      <xdr:col>3</xdr:col>
      <xdr:colOff>952501</xdr:colOff>
      <xdr:row>75</xdr:row>
      <xdr:rowOff>47625</xdr:rowOff>
    </xdr:from>
    <xdr:to>
      <xdr:col>3</xdr:col>
      <xdr:colOff>1612142</xdr:colOff>
      <xdr:row>77</xdr:row>
      <xdr:rowOff>187574</xdr:rowOff>
    </xdr:to>
    <xdr:pic>
      <xdr:nvPicPr>
        <xdr:cNvPr id="16" name="Imagen 15">
          <a:extLst>
            <a:ext uri="{FF2B5EF4-FFF2-40B4-BE49-F238E27FC236}">
              <a16:creationId xmlns:a16="http://schemas.microsoft.com/office/drawing/2014/main" id="{00000000-0008-0000-0500-000010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18137"/>
        <a:stretch/>
      </xdr:blipFill>
      <xdr:spPr>
        <a:xfrm>
          <a:off x="5769430" y="43821804"/>
          <a:ext cx="659641" cy="548164"/>
        </a:xfrm>
        <a:prstGeom prst="rect">
          <a:avLst/>
        </a:prstGeom>
      </xdr:spPr>
    </xdr:pic>
    <xdr:clientData/>
  </xdr:twoCellAnchor>
  <xdr:twoCellAnchor editAs="oneCell">
    <xdr:from>
      <xdr:col>3</xdr:col>
      <xdr:colOff>171450</xdr:colOff>
      <xdr:row>75</xdr:row>
      <xdr:rowOff>47625</xdr:rowOff>
    </xdr:from>
    <xdr:to>
      <xdr:col>3</xdr:col>
      <xdr:colOff>869491</xdr:colOff>
      <xdr:row>77</xdr:row>
      <xdr:rowOff>187574</xdr:rowOff>
    </xdr:to>
    <xdr:pic>
      <xdr:nvPicPr>
        <xdr:cNvPr id="19" name="Imagen 18">
          <a:extLst>
            <a:ext uri="{FF2B5EF4-FFF2-40B4-BE49-F238E27FC236}">
              <a16:creationId xmlns:a16="http://schemas.microsoft.com/office/drawing/2014/main" id="{00000000-0008-0000-0500-000013000000}"/>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b="22640"/>
        <a:stretch/>
      </xdr:blipFill>
      <xdr:spPr>
        <a:xfrm>
          <a:off x="4988379" y="43821804"/>
          <a:ext cx="698041" cy="548164"/>
        </a:xfrm>
        <a:prstGeom prst="rect">
          <a:avLst/>
        </a:prstGeom>
      </xdr:spPr>
    </xdr:pic>
    <xdr:clientData/>
  </xdr:twoCellAnchor>
  <xdr:twoCellAnchor editAs="oneCell">
    <xdr:from>
      <xdr:col>3</xdr:col>
      <xdr:colOff>142876</xdr:colOff>
      <xdr:row>96</xdr:row>
      <xdr:rowOff>19050</xdr:rowOff>
    </xdr:from>
    <xdr:to>
      <xdr:col>3</xdr:col>
      <xdr:colOff>972707</xdr:colOff>
      <xdr:row>98</xdr:row>
      <xdr:rowOff>159000</xdr:rowOff>
    </xdr:to>
    <xdr:pic>
      <xdr:nvPicPr>
        <xdr:cNvPr id="21" name="Imagen 20">
          <a:extLst>
            <a:ext uri="{FF2B5EF4-FFF2-40B4-BE49-F238E27FC236}">
              <a16:creationId xmlns:a16="http://schemas.microsoft.com/office/drawing/2014/main" id="{00000000-0008-0000-0500-00001500000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b="34926"/>
        <a:stretch/>
      </xdr:blipFill>
      <xdr:spPr>
        <a:xfrm>
          <a:off x="4959805" y="49834800"/>
          <a:ext cx="829831" cy="548164"/>
        </a:xfrm>
        <a:prstGeom prst="rect">
          <a:avLst/>
        </a:prstGeom>
      </xdr:spPr>
    </xdr:pic>
    <xdr:clientData/>
  </xdr:twoCellAnchor>
  <xdr:twoCellAnchor editAs="oneCell">
    <xdr:from>
      <xdr:col>3</xdr:col>
      <xdr:colOff>962025</xdr:colOff>
      <xdr:row>95</xdr:row>
      <xdr:rowOff>171450</xdr:rowOff>
    </xdr:from>
    <xdr:to>
      <xdr:col>3</xdr:col>
      <xdr:colOff>1944501</xdr:colOff>
      <xdr:row>99</xdr:row>
      <xdr:rowOff>91351</xdr:rowOff>
    </xdr:to>
    <xdr:pic>
      <xdr:nvPicPr>
        <xdr:cNvPr id="23" name="Imagen 22">
          <a:extLst>
            <a:ext uri="{FF2B5EF4-FFF2-40B4-BE49-F238E27FC236}">
              <a16:creationId xmlns:a16="http://schemas.microsoft.com/office/drawing/2014/main" id="{00000000-0008-0000-0500-000017000000}"/>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b="26715"/>
        <a:stretch/>
      </xdr:blipFill>
      <xdr:spPr>
        <a:xfrm>
          <a:off x="5778954" y="49742271"/>
          <a:ext cx="982476" cy="7363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152400</xdr:colOff>
      <xdr:row>3</xdr:row>
      <xdr:rowOff>19050</xdr:rowOff>
    </xdr:from>
    <xdr:to>
      <xdr:col>4</xdr:col>
      <xdr:colOff>769020</xdr:colOff>
      <xdr:row>5</xdr:row>
      <xdr:rowOff>159000</xdr:rowOff>
    </xdr:to>
    <xdr:pic>
      <xdr:nvPicPr>
        <xdr:cNvPr id="9" name="Imagen 8">
          <a:extLst>
            <a:ext uri="{FF2B5EF4-FFF2-40B4-BE49-F238E27FC236}">
              <a16:creationId xmlns:a16="http://schemas.microsoft.com/office/drawing/2014/main" id="{00000000-0008-0000-0600-00000900000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12425"/>
        <a:stretch/>
      </xdr:blipFill>
      <xdr:spPr>
        <a:xfrm>
          <a:off x="7820025" y="466725"/>
          <a:ext cx="616620" cy="540000"/>
        </a:xfrm>
        <a:prstGeom prst="rect">
          <a:avLst/>
        </a:prstGeom>
      </xdr:spPr>
    </xdr:pic>
    <xdr:clientData/>
  </xdr:twoCellAnchor>
  <xdr:twoCellAnchor editAs="oneCell">
    <xdr:from>
      <xdr:col>3</xdr:col>
      <xdr:colOff>209549</xdr:colOff>
      <xdr:row>18</xdr:row>
      <xdr:rowOff>59431</xdr:rowOff>
    </xdr:from>
    <xdr:to>
      <xdr:col>3</xdr:col>
      <xdr:colOff>981074</xdr:colOff>
      <xdr:row>21</xdr:row>
      <xdr:rowOff>130425</xdr:rowOff>
    </xdr:to>
    <xdr:pic>
      <xdr:nvPicPr>
        <xdr:cNvPr id="10" name="Imagen 9">
          <a:extLst>
            <a:ext uri="{FF2B5EF4-FFF2-40B4-BE49-F238E27FC236}">
              <a16:creationId xmlns:a16="http://schemas.microsoft.com/office/drawing/2014/main" id="{00000000-0008-0000-0600-00000A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13021"/>
        <a:stretch/>
      </xdr:blipFill>
      <xdr:spPr>
        <a:xfrm>
          <a:off x="4857749" y="6117331"/>
          <a:ext cx="771525" cy="671069"/>
        </a:xfrm>
        <a:prstGeom prst="rect">
          <a:avLst/>
        </a:prstGeom>
      </xdr:spPr>
    </xdr:pic>
    <xdr:clientData/>
  </xdr:twoCellAnchor>
  <xdr:twoCellAnchor editAs="oneCell">
    <xdr:from>
      <xdr:col>4</xdr:col>
      <xdr:colOff>133350</xdr:colOff>
      <xdr:row>38</xdr:row>
      <xdr:rowOff>104775</xdr:rowOff>
    </xdr:from>
    <xdr:to>
      <xdr:col>4</xdr:col>
      <xdr:colOff>758580</xdr:colOff>
      <xdr:row>41</xdr:row>
      <xdr:rowOff>44696</xdr:rowOff>
    </xdr:to>
    <xdr:pic>
      <xdr:nvPicPr>
        <xdr:cNvPr id="11" name="Imagen 10">
          <a:extLst>
            <a:ext uri="{FF2B5EF4-FFF2-40B4-BE49-F238E27FC236}">
              <a16:creationId xmlns:a16="http://schemas.microsoft.com/office/drawing/2014/main" id="{00000000-0008-0000-0600-00000B0000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13632"/>
        <a:stretch/>
      </xdr:blipFill>
      <xdr:spPr>
        <a:xfrm>
          <a:off x="7800975" y="10058400"/>
          <a:ext cx="625230" cy="540000"/>
        </a:xfrm>
        <a:prstGeom prst="rect">
          <a:avLst/>
        </a:prstGeom>
      </xdr:spPr>
    </xdr:pic>
    <xdr:clientData/>
  </xdr:twoCellAnchor>
  <xdr:twoCellAnchor editAs="oneCell">
    <xdr:from>
      <xdr:col>3</xdr:col>
      <xdr:colOff>171449</xdr:colOff>
      <xdr:row>52</xdr:row>
      <xdr:rowOff>193138</xdr:rowOff>
    </xdr:from>
    <xdr:to>
      <xdr:col>3</xdr:col>
      <xdr:colOff>1019174</xdr:colOff>
      <xdr:row>56</xdr:row>
      <xdr:rowOff>111373</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15263"/>
        <a:stretch/>
      </xdr:blipFill>
      <xdr:spPr>
        <a:xfrm>
          <a:off x="4812722" y="18394547"/>
          <a:ext cx="847725" cy="74950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161925</xdr:colOff>
      <xdr:row>3</xdr:row>
      <xdr:rowOff>19050</xdr:rowOff>
    </xdr:from>
    <xdr:to>
      <xdr:col>3</xdr:col>
      <xdr:colOff>781446</xdr:colOff>
      <xdr:row>5</xdr:row>
      <xdr:rowOff>159000</xdr:rowOff>
    </xdr:to>
    <xdr:pic>
      <xdr:nvPicPr>
        <xdr:cNvPr id="10" name="Imagen 9">
          <a:extLst>
            <a:ext uri="{FF2B5EF4-FFF2-40B4-BE49-F238E27FC236}">
              <a16:creationId xmlns:a16="http://schemas.microsoft.com/office/drawing/2014/main" id="{00000000-0008-0000-0700-00000A00000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12836"/>
        <a:stretch/>
      </xdr:blipFill>
      <xdr:spPr>
        <a:xfrm>
          <a:off x="4810125" y="466725"/>
          <a:ext cx="619521" cy="540000"/>
        </a:xfrm>
        <a:prstGeom prst="rect">
          <a:avLst/>
        </a:prstGeom>
      </xdr:spPr>
    </xdr:pic>
    <xdr:clientData/>
  </xdr:twoCellAnchor>
  <xdr:twoCellAnchor editAs="oneCell">
    <xdr:from>
      <xdr:col>3</xdr:col>
      <xdr:colOff>876301</xdr:colOff>
      <xdr:row>3</xdr:row>
      <xdr:rowOff>38100</xdr:rowOff>
    </xdr:from>
    <xdr:to>
      <xdr:col>3</xdr:col>
      <xdr:colOff>1498664</xdr:colOff>
      <xdr:row>5</xdr:row>
      <xdr:rowOff>178050</xdr:rowOff>
    </xdr:to>
    <xdr:pic>
      <xdr:nvPicPr>
        <xdr:cNvPr id="11" name="Imagen 10">
          <a:extLst>
            <a:ext uri="{FF2B5EF4-FFF2-40B4-BE49-F238E27FC236}">
              <a16:creationId xmlns:a16="http://schemas.microsoft.com/office/drawing/2014/main" id="{00000000-0008-0000-0700-00000B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13234"/>
        <a:stretch/>
      </xdr:blipFill>
      <xdr:spPr>
        <a:xfrm>
          <a:off x="5524501" y="485775"/>
          <a:ext cx="622363" cy="540000"/>
        </a:xfrm>
        <a:prstGeom prst="rect">
          <a:avLst/>
        </a:prstGeom>
      </xdr:spPr>
    </xdr:pic>
    <xdr:clientData/>
  </xdr:twoCellAnchor>
  <xdr:twoCellAnchor editAs="oneCell">
    <xdr:from>
      <xdr:col>3</xdr:col>
      <xdr:colOff>142875</xdr:colOff>
      <xdr:row>12</xdr:row>
      <xdr:rowOff>85725</xdr:rowOff>
    </xdr:from>
    <xdr:to>
      <xdr:col>3</xdr:col>
      <xdr:colOff>758181</xdr:colOff>
      <xdr:row>15</xdr:row>
      <xdr:rowOff>25649</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12239"/>
        <a:stretch/>
      </xdr:blipFill>
      <xdr:spPr>
        <a:xfrm>
          <a:off x="4791075" y="3190875"/>
          <a:ext cx="615306" cy="540000"/>
        </a:xfrm>
        <a:prstGeom prst="rect">
          <a:avLst/>
        </a:prstGeom>
      </xdr:spPr>
    </xdr:pic>
    <xdr:clientData/>
  </xdr:twoCellAnchor>
  <xdr:twoCellAnchor editAs="oneCell">
    <xdr:from>
      <xdr:col>3</xdr:col>
      <xdr:colOff>790575</xdr:colOff>
      <xdr:row>12</xdr:row>
      <xdr:rowOff>85725</xdr:rowOff>
    </xdr:from>
    <xdr:to>
      <xdr:col>3</xdr:col>
      <xdr:colOff>1452404</xdr:colOff>
      <xdr:row>15</xdr:row>
      <xdr:rowOff>25649</xdr:rowOff>
    </xdr:to>
    <xdr:pic>
      <xdr:nvPicPr>
        <xdr:cNvPr id="13" name="Imagen 12">
          <a:extLst>
            <a:ext uri="{FF2B5EF4-FFF2-40B4-BE49-F238E27FC236}">
              <a16:creationId xmlns:a16="http://schemas.microsoft.com/office/drawing/2014/main" id="{00000000-0008-0000-0700-00000D000000}"/>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18408"/>
        <a:stretch/>
      </xdr:blipFill>
      <xdr:spPr>
        <a:xfrm>
          <a:off x="5438775" y="3190875"/>
          <a:ext cx="661829" cy="540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123825</xdr:colOff>
      <xdr:row>3</xdr:row>
      <xdr:rowOff>19050</xdr:rowOff>
    </xdr:from>
    <xdr:to>
      <xdr:col>3</xdr:col>
      <xdr:colOff>796418</xdr:colOff>
      <xdr:row>5</xdr:row>
      <xdr:rowOff>175813</xdr:rowOff>
    </xdr:to>
    <xdr:pic>
      <xdr:nvPicPr>
        <xdr:cNvPr id="2" name="Imagen 1">
          <a:extLst>
            <a:ext uri="{FF2B5EF4-FFF2-40B4-BE49-F238E27FC236}">
              <a16:creationId xmlns:a16="http://schemas.microsoft.com/office/drawing/2014/main" id="{00000000-0008-0000-0800-00000200000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17214"/>
        <a:stretch/>
      </xdr:blipFill>
      <xdr:spPr>
        <a:xfrm>
          <a:off x="4772025" y="704850"/>
          <a:ext cx="672593" cy="556813"/>
        </a:xfrm>
        <a:prstGeom prst="rect">
          <a:avLst/>
        </a:prstGeom>
      </xdr:spPr>
    </xdr:pic>
    <xdr:clientData/>
  </xdr:twoCellAnchor>
  <xdr:twoCellAnchor editAs="oneCell">
    <xdr:from>
      <xdr:col>3</xdr:col>
      <xdr:colOff>2046694</xdr:colOff>
      <xdr:row>3</xdr:row>
      <xdr:rowOff>120955</xdr:rowOff>
    </xdr:from>
    <xdr:to>
      <xdr:col>3</xdr:col>
      <xdr:colOff>2505075</xdr:colOff>
      <xdr:row>5</xdr:row>
      <xdr:rowOff>112239</xdr:rowOff>
    </xdr:to>
    <xdr:pic>
      <xdr:nvPicPr>
        <xdr:cNvPr id="3" name="Imagen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14627"/>
        <a:stretch/>
      </xdr:blipFill>
      <xdr:spPr>
        <a:xfrm>
          <a:off x="6694894" y="806755"/>
          <a:ext cx="458381" cy="391334"/>
        </a:xfrm>
        <a:prstGeom prst="rect">
          <a:avLst/>
        </a:prstGeom>
      </xdr:spPr>
    </xdr:pic>
    <xdr:clientData/>
  </xdr:twoCellAnchor>
  <xdr:twoCellAnchor editAs="oneCell">
    <xdr:from>
      <xdr:col>3</xdr:col>
      <xdr:colOff>1343633</xdr:colOff>
      <xdr:row>3</xdr:row>
      <xdr:rowOff>514</xdr:rowOff>
    </xdr:from>
    <xdr:to>
      <xdr:col>3</xdr:col>
      <xdr:colOff>2057400</xdr:colOff>
      <xdr:row>5</xdr:row>
      <xdr:rowOff>121763</xdr:rowOff>
    </xdr:to>
    <xdr:pic>
      <xdr:nvPicPr>
        <xdr:cNvPr id="4" name="Imagen 3">
          <a:extLst>
            <a:ext uri="{FF2B5EF4-FFF2-40B4-BE49-F238E27FC236}">
              <a16:creationId xmlns:a16="http://schemas.microsoft.com/office/drawing/2014/main" id="{00000000-0008-0000-0800-0000040000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26965"/>
        <a:stretch/>
      </xdr:blipFill>
      <xdr:spPr>
        <a:xfrm>
          <a:off x="5991833" y="686314"/>
          <a:ext cx="713767" cy="521299"/>
        </a:xfrm>
        <a:prstGeom prst="rect">
          <a:avLst/>
        </a:prstGeom>
      </xdr:spPr>
    </xdr:pic>
    <xdr:clientData/>
  </xdr:twoCellAnchor>
  <xdr:twoCellAnchor editAs="oneCell">
    <xdr:from>
      <xdr:col>3</xdr:col>
      <xdr:colOff>838454</xdr:colOff>
      <xdr:row>3</xdr:row>
      <xdr:rowOff>76200</xdr:rowOff>
    </xdr:from>
    <xdr:to>
      <xdr:col>3</xdr:col>
      <xdr:colOff>1385159</xdr:colOff>
      <xdr:row>5</xdr:row>
      <xdr:rowOff>103722</xdr:rowOff>
    </xdr:to>
    <xdr:pic>
      <xdr:nvPicPr>
        <xdr:cNvPr id="5" name="Imagen 4">
          <a:extLst>
            <a:ext uri="{FF2B5EF4-FFF2-40B4-BE49-F238E27FC236}">
              <a16:creationId xmlns:a16="http://schemas.microsoft.com/office/drawing/2014/main" id="{00000000-0008-0000-0800-000005000000}"/>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21791"/>
        <a:stretch/>
      </xdr:blipFill>
      <xdr:spPr>
        <a:xfrm>
          <a:off x="5486654" y="762000"/>
          <a:ext cx="546705" cy="427572"/>
        </a:xfrm>
        <a:prstGeom prst="rect">
          <a:avLst/>
        </a:prstGeom>
      </xdr:spPr>
    </xdr:pic>
    <xdr:clientData/>
  </xdr:twoCellAnchor>
  <xdr:twoCellAnchor editAs="oneCell">
    <xdr:from>
      <xdr:col>3</xdr:col>
      <xdr:colOff>189730</xdr:colOff>
      <xdr:row>17</xdr:row>
      <xdr:rowOff>152400</xdr:rowOff>
    </xdr:from>
    <xdr:to>
      <xdr:col>3</xdr:col>
      <xdr:colOff>968420</xdr:colOff>
      <xdr:row>21</xdr:row>
      <xdr:rowOff>24673</xdr:rowOff>
    </xdr:to>
    <xdr:pic>
      <xdr:nvPicPr>
        <xdr:cNvPr id="6" name="Imagen 5">
          <a:extLst>
            <a:ext uri="{FF2B5EF4-FFF2-40B4-BE49-F238E27FC236}">
              <a16:creationId xmlns:a16="http://schemas.microsoft.com/office/drawing/2014/main" id="{00000000-0008-0000-0800-000006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13653"/>
        <a:stretch/>
      </xdr:blipFill>
      <xdr:spPr>
        <a:xfrm>
          <a:off x="4837930" y="3695700"/>
          <a:ext cx="778690" cy="672376"/>
        </a:xfrm>
        <a:prstGeom prst="rect">
          <a:avLst/>
        </a:prstGeom>
      </xdr:spPr>
    </xdr:pic>
    <xdr:clientData/>
  </xdr:twoCellAnchor>
  <xdr:twoCellAnchor editAs="oneCell">
    <xdr:from>
      <xdr:col>3</xdr:col>
      <xdr:colOff>1009650</xdr:colOff>
      <xdr:row>18</xdr:row>
      <xdr:rowOff>32880</xdr:rowOff>
    </xdr:from>
    <xdr:to>
      <xdr:col>3</xdr:col>
      <xdr:colOff>1924050</xdr:colOff>
      <xdr:row>21</xdr:row>
      <xdr:rowOff>66672</xdr:rowOff>
    </xdr:to>
    <xdr:pic>
      <xdr:nvPicPr>
        <xdr:cNvPr id="7" name="Imagen 6">
          <a:extLst>
            <a:ext uri="{FF2B5EF4-FFF2-40B4-BE49-F238E27FC236}">
              <a16:creationId xmlns:a16="http://schemas.microsoft.com/office/drawing/2014/main" id="{00000000-0008-0000-0800-000007000000}"/>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b="30679"/>
        <a:stretch/>
      </xdr:blipFill>
      <xdr:spPr>
        <a:xfrm>
          <a:off x="5657850" y="3776205"/>
          <a:ext cx="914400" cy="633870"/>
        </a:xfrm>
        <a:prstGeom prst="rect">
          <a:avLst/>
        </a:prstGeom>
      </xdr:spPr>
    </xdr:pic>
    <xdr:clientData/>
  </xdr:twoCellAnchor>
  <xdr:twoCellAnchor editAs="oneCell">
    <xdr:from>
      <xdr:col>3</xdr:col>
      <xdr:colOff>1971675</xdr:colOff>
      <xdr:row>17</xdr:row>
      <xdr:rowOff>182303</xdr:rowOff>
    </xdr:from>
    <xdr:to>
      <xdr:col>3</xdr:col>
      <xdr:colOff>2752725</xdr:colOff>
      <xdr:row>21</xdr:row>
      <xdr:rowOff>47622</xdr:rowOff>
    </xdr:to>
    <xdr:pic>
      <xdr:nvPicPr>
        <xdr:cNvPr id="8" name="Imagen 7">
          <a:extLst>
            <a:ext uri="{FF2B5EF4-FFF2-40B4-BE49-F238E27FC236}">
              <a16:creationId xmlns:a16="http://schemas.microsoft.com/office/drawing/2014/main" id="{00000000-0008-0000-0800-00000800000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b="14804"/>
        <a:stretch/>
      </xdr:blipFill>
      <xdr:spPr>
        <a:xfrm>
          <a:off x="6619875" y="3725603"/>
          <a:ext cx="781050" cy="665422"/>
        </a:xfrm>
        <a:prstGeom prst="rect">
          <a:avLst/>
        </a:prstGeom>
      </xdr:spPr>
    </xdr:pic>
    <xdr:clientData/>
  </xdr:twoCellAnchor>
  <xdr:twoCellAnchor editAs="oneCell">
    <xdr:from>
      <xdr:col>3</xdr:col>
      <xdr:colOff>2781301</xdr:colOff>
      <xdr:row>18</xdr:row>
      <xdr:rowOff>35147</xdr:rowOff>
    </xdr:from>
    <xdr:to>
      <xdr:col>4</xdr:col>
      <xdr:colOff>523876</xdr:colOff>
      <xdr:row>21</xdr:row>
      <xdr:rowOff>76197</xdr:rowOff>
    </xdr:to>
    <xdr:pic>
      <xdr:nvPicPr>
        <xdr:cNvPr id="9" name="Imagen 8">
          <a:extLst>
            <a:ext uri="{FF2B5EF4-FFF2-40B4-BE49-F238E27FC236}">
              <a16:creationId xmlns:a16="http://schemas.microsoft.com/office/drawing/2014/main" id="{00000000-0008-0000-0800-000009000000}"/>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b="15863"/>
        <a:stretch/>
      </xdr:blipFill>
      <xdr:spPr>
        <a:xfrm>
          <a:off x="7429501" y="3778472"/>
          <a:ext cx="762000" cy="641128"/>
        </a:xfrm>
        <a:prstGeom prst="rect">
          <a:avLst/>
        </a:prstGeom>
      </xdr:spPr>
    </xdr:pic>
    <xdr:clientData/>
  </xdr:twoCellAnchor>
  <xdr:twoCellAnchor editAs="oneCell">
    <xdr:from>
      <xdr:col>3</xdr:col>
      <xdr:colOff>38100</xdr:colOff>
      <xdr:row>27</xdr:row>
      <xdr:rowOff>114299</xdr:rowOff>
    </xdr:from>
    <xdr:to>
      <xdr:col>3</xdr:col>
      <xdr:colOff>1298515</xdr:colOff>
      <xdr:row>32</xdr:row>
      <xdr:rowOff>120030</xdr:rowOff>
    </xdr:to>
    <xdr:pic>
      <xdr:nvPicPr>
        <xdr:cNvPr id="10" name="Imagen 9">
          <a:extLst>
            <a:ext uri="{FF2B5EF4-FFF2-40B4-BE49-F238E27FC236}">
              <a16:creationId xmlns:a16="http://schemas.microsoft.com/office/drawing/2014/main" id="{00000000-0008-0000-0800-00000A00000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16418"/>
        <a:stretch/>
      </xdr:blipFill>
      <xdr:spPr>
        <a:xfrm>
          <a:off x="4686300" y="5905499"/>
          <a:ext cx="1260415" cy="105348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38099</xdr:colOff>
      <xdr:row>51</xdr:row>
      <xdr:rowOff>0</xdr:rowOff>
    </xdr:from>
    <xdr:to>
      <xdr:col>11</xdr:col>
      <xdr:colOff>1219200</xdr:colOff>
      <xdr:row>63</xdr:row>
      <xdr:rowOff>185737</xdr:rowOff>
    </xdr:to>
    <xdr:graphicFrame macro="">
      <xdr:nvGraphicFramePr>
        <xdr:cNvPr id="2" name="Gráfico 1">
          <a:extLst>
            <a:ext uri="{FF2B5EF4-FFF2-40B4-BE49-F238E27FC236}">
              <a16:creationId xmlns:a16="http://schemas.microsoft.com/office/drawing/2014/main" id="{00000000-0008-0000-09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38099</xdr:colOff>
      <xdr:row>67</xdr:row>
      <xdr:rowOff>9525</xdr:rowOff>
    </xdr:from>
    <xdr:to>
      <xdr:col>11</xdr:col>
      <xdr:colOff>1209675</xdr:colOff>
      <xdr:row>79</xdr:row>
      <xdr:rowOff>185737</xdr:rowOff>
    </xdr:to>
    <xdr:graphicFrame macro="">
      <xdr:nvGraphicFramePr>
        <xdr:cNvPr id="4" name="Gráfico 3">
          <a:extLst>
            <a:ext uri="{FF2B5EF4-FFF2-40B4-BE49-F238E27FC236}">
              <a16:creationId xmlns:a16="http://schemas.microsoft.com/office/drawing/2014/main" id="{00000000-0008-0000-09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38099</xdr:colOff>
      <xdr:row>83</xdr:row>
      <xdr:rowOff>0</xdr:rowOff>
    </xdr:from>
    <xdr:to>
      <xdr:col>11</xdr:col>
      <xdr:colOff>1200150</xdr:colOff>
      <xdr:row>95</xdr:row>
      <xdr:rowOff>185737</xdr:rowOff>
    </xdr:to>
    <xdr:graphicFrame macro="">
      <xdr:nvGraphicFramePr>
        <xdr:cNvPr id="6" name="Gráfico 5">
          <a:extLst>
            <a:ext uri="{FF2B5EF4-FFF2-40B4-BE49-F238E27FC236}">
              <a16:creationId xmlns:a16="http://schemas.microsoft.com/office/drawing/2014/main" id="{00000000-0008-0000-0900-00000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38100</xdr:colOff>
      <xdr:row>99</xdr:row>
      <xdr:rowOff>19050</xdr:rowOff>
    </xdr:from>
    <xdr:to>
      <xdr:col>6</xdr:col>
      <xdr:colOff>704850</xdr:colOff>
      <xdr:row>111</xdr:row>
      <xdr:rowOff>185737</xdr:rowOff>
    </xdr:to>
    <xdr:graphicFrame macro="">
      <xdr:nvGraphicFramePr>
        <xdr:cNvPr id="8" name="Gráfico 7">
          <a:extLst>
            <a:ext uri="{FF2B5EF4-FFF2-40B4-BE49-F238E27FC236}">
              <a16:creationId xmlns:a16="http://schemas.microsoft.com/office/drawing/2014/main" id="{00000000-0008-0000-0900-00000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38101</xdr:colOff>
      <xdr:row>99</xdr:row>
      <xdr:rowOff>19050</xdr:rowOff>
    </xdr:from>
    <xdr:to>
      <xdr:col>11</xdr:col>
      <xdr:colOff>1219201</xdr:colOff>
      <xdr:row>111</xdr:row>
      <xdr:rowOff>171450</xdr:rowOff>
    </xdr:to>
    <xdr:graphicFrame macro="">
      <xdr:nvGraphicFramePr>
        <xdr:cNvPr id="9" name="Gráfico 8">
          <a:extLst>
            <a:ext uri="{FF2B5EF4-FFF2-40B4-BE49-F238E27FC236}">
              <a16:creationId xmlns:a16="http://schemas.microsoft.com/office/drawing/2014/main" id="{00000000-0008-0000-0900-00000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38100</xdr:colOff>
      <xdr:row>115</xdr:row>
      <xdr:rowOff>19050</xdr:rowOff>
    </xdr:from>
    <xdr:to>
      <xdr:col>6</xdr:col>
      <xdr:colOff>723900</xdr:colOff>
      <xdr:row>127</xdr:row>
      <xdr:rowOff>185737</xdr:rowOff>
    </xdr:to>
    <xdr:graphicFrame macro="">
      <xdr:nvGraphicFramePr>
        <xdr:cNvPr id="11" name="Gráfico 10">
          <a:extLst>
            <a:ext uri="{FF2B5EF4-FFF2-40B4-BE49-F238E27FC236}">
              <a16:creationId xmlns:a16="http://schemas.microsoft.com/office/drawing/2014/main" id="{00000000-0008-0000-09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19050</xdr:colOff>
      <xdr:row>115</xdr:row>
      <xdr:rowOff>38100</xdr:rowOff>
    </xdr:from>
    <xdr:to>
      <xdr:col>11</xdr:col>
      <xdr:colOff>1228725</xdr:colOff>
      <xdr:row>127</xdr:row>
      <xdr:rowOff>157162</xdr:rowOff>
    </xdr:to>
    <xdr:graphicFrame macro="">
      <xdr:nvGraphicFramePr>
        <xdr:cNvPr id="14" name="Gráfico 13">
          <a:extLst>
            <a:ext uri="{FF2B5EF4-FFF2-40B4-BE49-F238E27FC236}">
              <a16:creationId xmlns:a16="http://schemas.microsoft.com/office/drawing/2014/main" id="{EB051FCD-8F21-4F45-A4E7-698EC802E4D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1524001</xdr:colOff>
      <xdr:row>133</xdr:row>
      <xdr:rowOff>127288</xdr:rowOff>
    </xdr:from>
    <xdr:to>
      <xdr:col>6</xdr:col>
      <xdr:colOff>1286502</xdr:colOff>
      <xdr:row>144</xdr:row>
      <xdr:rowOff>1</xdr:rowOff>
    </xdr:to>
    <xdr:pic>
      <xdr:nvPicPr>
        <xdr:cNvPr id="2" name="Picture 1">
          <a:extLst>
            <a:ext uri="{FF2B5EF4-FFF2-40B4-BE49-F238E27FC236}">
              <a16:creationId xmlns:a16="http://schemas.microsoft.com/office/drawing/2014/main" id="{E270C386-A63F-4C89-FAFE-0C14F1182857}"/>
            </a:ext>
          </a:extLst>
        </xdr:cNvPr>
        <xdr:cNvPicPr>
          <a:picLocks noChangeAspect="1"/>
        </xdr:cNvPicPr>
      </xdr:nvPicPr>
      <xdr:blipFill>
        <a:blip xmlns:r="http://schemas.openxmlformats.org/officeDocument/2006/relationships" r:embed="rId1"/>
        <a:stretch>
          <a:fillRect/>
        </a:stretch>
      </xdr:blipFill>
      <xdr:spPr>
        <a:xfrm>
          <a:off x="5991226" y="16510288"/>
          <a:ext cx="4763126" cy="1968213"/>
        </a:xfrm>
        <a:prstGeom prst="rect">
          <a:avLst/>
        </a:prstGeom>
      </xdr:spPr>
    </xdr:pic>
    <xdr:clientData/>
  </xdr:twoCellAnchor>
  <xdr:twoCellAnchor editAs="oneCell">
    <xdr:from>
      <xdr:col>1</xdr:col>
      <xdr:colOff>44822</xdr:colOff>
      <xdr:row>133</xdr:row>
      <xdr:rowOff>112060</xdr:rowOff>
    </xdr:from>
    <xdr:to>
      <xdr:col>3</xdr:col>
      <xdr:colOff>1341602</xdr:colOff>
      <xdr:row>144</xdr:row>
      <xdr:rowOff>33619</xdr:rowOff>
    </xdr:to>
    <xdr:pic>
      <xdr:nvPicPr>
        <xdr:cNvPr id="4" name="Picture 3">
          <a:extLst>
            <a:ext uri="{FF2B5EF4-FFF2-40B4-BE49-F238E27FC236}">
              <a16:creationId xmlns:a16="http://schemas.microsoft.com/office/drawing/2014/main" id="{7C90117F-C0A1-8E9D-3748-700C934BD3DA}"/>
            </a:ext>
          </a:extLst>
        </xdr:cNvPr>
        <xdr:cNvPicPr>
          <a:picLocks noChangeAspect="1"/>
        </xdr:cNvPicPr>
      </xdr:nvPicPr>
      <xdr:blipFill>
        <a:blip xmlns:r="http://schemas.openxmlformats.org/officeDocument/2006/relationships" r:embed="rId2"/>
        <a:stretch>
          <a:fillRect/>
        </a:stretch>
      </xdr:blipFill>
      <xdr:spPr>
        <a:xfrm>
          <a:off x="654422" y="16495060"/>
          <a:ext cx="5154405" cy="2017059"/>
        </a:xfrm>
        <a:prstGeom prst="rect">
          <a:avLst/>
        </a:prstGeom>
      </xdr:spPr>
    </xdr:pic>
    <xdr:clientData/>
  </xdr:twoCellAnchor>
  <xdr:twoCellAnchor editAs="oneCell">
    <xdr:from>
      <xdr:col>0</xdr:col>
      <xdr:colOff>571499</xdr:colOff>
      <xdr:row>208</xdr:row>
      <xdr:rowOff>79497</xdr:rowOff>
    </xdr:from>
    <xdr:to>
      <xdr:col>3</xdr:col>
      <xdr:colOff>1187823</xdr:colOff>
      <xdr:row>217</xdr:row>
      <xdr:rowOff>141170</xdr:rowOff>
    </xdr:to>
    <xdr:pic>
      <xdr:nvPicPr>
        <xdr:cNvPr id="5" name="Picture 4">
          <a:extLst>
            <a:ext uri="{FF2B5EF4-FFF2-40B4-BE49-F238E27FC236}">
              <a16:creationId xmlns:a16="http://schemas.microsoft.com/office/drawing/2014/main" id="{6F42F578-A738-1E5C-35EE-1A626321AFD9}"/>
            </a:ext>
          </a:extLst>
        </xdr:cNvPr>
        <xdr:cNvPicPr>
          <a:picLocks noChangeAspect="1"/>
        </xdr:cNvPicPr>
      </xdr:nvPicPr>
      <xdr:blipFill>
        <a:blip xmlns:r="http://schemas.openxmlformats.org/officeDocument/2006/relationships" r:embed="rId3"/>
        <a:stretch>
          <a:fillRect/>
        </a:stretch>
      </xdr:blipFill>
      <xdr:spPr>
        <a:xfrm>
          <a:off x="571499" y="43342047"/>
          <a:ext cx="5083549" cy="1776173"/>
        </a:xfrm>
        <a:prstGeom prst="rect">
          <a:avLst/>
        </a:prstGeom>
      </xdr:spPr>
    </xdr:pic>
    <xdr:clientData/>
  </xdr:twoCellAnchor>
  <xdr:twoCellAnchor editAs="oneCell">
    <xdr:from>
      <xdr:col>3</xdr:col>
      <xdr:colOff>1759323</xdr:colOff>
      <xdr:row>208</xdr:row>
      <xdr:rowOff>62184</xdr:rowOff>
    </xdr:from>
    <xdr:to>
      <xdr:col>6</xdr:col>
      <xdr:colOff>980522</xdr:colOff>
      <xdr:row>217</xdr:row>
      <xdr:rowOff>136868</xdr:rowOff>
    </xdr:to>
    <xdr:pic>
      <xdr:nvPicPr>
        <xdr:cNvPr id="6" name="Picture 5">
          <a:extLst>
            <a:ext uri="{FF2B5EF4-FFF2-40B4-BE49-F238E27FC236}">
              <a16:creationId xmlns:a16="http://schemas.microsoft.com/office/drawing/2014/main" id="{486729EA-CA6D-7DC8-6B65-7FCBDE39DF41}"/>
            </a:ext>
          </a:extLst>
        </xdr:cNvPr>
        <xdr:cNvPicPr>
          <a:picLocks noChangeAspect="1"/>
        </xdr:cNvPicPr>
      </xdr:nvPicPr>
      <xdr:blipFill>
        <a:blip xmlns:r="http://schemas.openxmlformats.org/officeDocument/2006/relationships" r:embed="rId4"/>
        <a:stretch>
          <a:fillRect/>
        </a:stretch>
      </xdr:blipFill>
      <xdr:spPr>
        <a:xfrm>
          <a:off x="6226548" y="43324734"/>
          <a:ext cx="4221824" cy="1789184"/>
        </a:xfrm>
        <a:prstGeom prst="rect">
          <a:avLst/>
        </a:prstGeom>
      </xdr:spPr>
    </xdr:pic>
    <xdr:clientData/>
  </xdr:twoCellAnchor>
  <xdr:twoCellAnchor editAs="oneCell">
    <xdr:from>
      <xdr:col>24</xdr:col>
      <xdr:colOff>369794</xdr:colOff>
      <xdr:row>199</xdr:row>
      <xdr:rowOff>0</xdr:rowOff>
    </xdr:from>
    <xdr:to>
      <xdr:col>31</xdr:col>
      <xdr:colOff>567898</xdr:colOff>
      <xdr:row>207</xdr:row>
      <xdr:rowOff>121164</xdr:rowOff>
    </xdr:to>
    <xdr:pic>
      <xdr:nvPicPr>
        <xdr:cNvPr id="7" name="Picture 6">
          <a:extLst>
            <a:ext uri="{FF2B5EF4-FFF2-40B4-BE49-F238E27FC236}">
              <a16:creationId xmlns:a16="http://schemas.microsoft.com/office/drawing/2014/main" id="{0C11FD82-ABFE-290D-3DA9-B779050BB117}"/>
            </a:ext>
          </a:extLst>
        </xdr:cNvPr>
        <xdr:cNvPicPr>
          <a:picLocks noChangeAspect="1"/>
        </xdr:cNvPicPr>
      </xdr:nvPicPr>
      <xdr:blipFill>
        <a:blip xmlns:r="http://schemas.openxmlformats.org/officeDocument/2006/relationships" r:embed="rId5"/>
        <a:stretch>
          <a:fillRect/>
        </a:stretch>
      </xdr:blipFill>
      <xdr:spPr>
        <a:xfrm>
          <a:off x="25210994" y="29822775"/>
          <a:ext cx="4465304" cy="1921389"/>
        </a:xfrm>
        <a:prstGeom prst="rect">
          <a:avLst/>
        </a:prstGeom>
      </xdr:spPr>
    </xdr:pic>
    <xdr:clientData/>
  </xdr:twoCellAnchor>
  <xdr:twoCellAnchor editAs="oneCell">
    <xdr:from>
      <xdr:col>1</xdr:col>
      <xdr:colOff>33618</xdr:colOff>
      <xdr:row>152</xdr:row>
      <xdr:rowOff>147873</xdr:rowOff>
    </xdr:from>
    <xdr:to>
      <xdr:col>3</xdr:col>
      <xdr:colOff>128531</xdr:colOff>
      <xdr:row>162</xdr:row>
      <xdr:rowOff>75144</xdr:rowOff>
    </xdr:to>
    <xdr:pic>
      <xdr:nvPicPr>
        <xdr:cNvPr id="8" name="Picture 7">
          <a:extLst>
            <a:ext uri="{FF2B5EF4-FFF2-40B4-BE49-F238E27FC236}">
              <a16:creationId xmlns:a16="http://schemas.microsoft.com/office/drawing/2014/main" id="{B5D1BD05-2344-E1C4-8F9A-22C051639E0F}"/>
            </a:ext>
          </a:extLst>
        </xdr:cNvPr>
        <xdr:cNvPicPr>
          <a:picLocks noChangeAspect="1"/>
        </xdr:cNvPicPr>
      </xdr:nvPicPr>
      <xdr:blipFill>
        <a:blip xmlns:r="http://schemas.openxmlformats.org/officeDocument/2006/relationships" r:embed="rId6"/>
        <a:stretch>
          <a:fillRect/>
        </a:stretch>
      </xdr:blipFill>
      <xdr:spPr>
        <a:xfrm>
          <a:off x="643218" y="20493273"/>
          <a:ext cx="3952538" cy="1832271"/>
        </a:xfrm>
        <a:prstGeom prst="rect">
          <a:avLst/>
        </a:prstGeom>
      </xdr:spPr>
    </xdr:pic>
    <xdr:clientData/>
  </xdr:twoCellAnchor>
  <xdr:twoCellAnchor>
    <xdr:from>
      <xdr:col>3</xdr:col>
      <xdr:colOff>224117</xdr:colOff>
      <xdr:row>152</xdr:row>
      <xdr:rowOff>56031</xdr:rowOff>
    </xdr:from>
    <xdr:to>
      <xdr:col>5</xdr:col>
      <xdr:colOff>661147</xdr:colOff>
      <xdr:row>162</xdr:row>
      <xdr:rowOff>78442</xdr:rowOff>
    </xdr:to>
    <xdr:grpSp>
      <xdr:nvGrpSpPr>
        <xdr:cNvPr id="11" name="Group 10">
          <a:extLst>
            <a:ext uri="{FF2B5EF4-FFF2-40B4-BE49-F238E27FC236}">
              <a16:creationId xmlns:a16="http://schemas.microsoft.com/office/drawing/2014/main" id="{CE0DE78F-D1E1-5570-E151-3440DD5AA828}"/>
            </a:ext>
          </a:extLst>
        </xdr:cNvPr>
        <xdr:cNvGrpSpPr/>
      </xdr:nvGrpSpPr>
      <xdr:grpSpPr>
        <a:xfrm>
          <a:off x="4691342" y="33041106"/>
          <a:ext cx="3637430" cy="1927411"/>
          <a:chOff x="10802471" y="7844117"/>
          <a:chExt cx="10078857" cy="5182323"/>
        </a:xfrm>
      </xdr:grpSpPr>
      <xdr:pic>
        <xdr:nvPicPr>
          <xdr:cNvPr id="9" name="Picture 8">
            <a:extLst>
              <a:ext uri="{FF2B5EF4-FFF2-40B4-BE49-F238E27FC236}">
                <a16:creationId xmlns:a16="http://schemas.microsoft.com/office/drawing/2014/main" id="{5A5CC413-4766-B9BA-42C9-75D47CBB292F}"/>
              </a:ext>
            </a:extLst>
          </xdr:cNvPr>
          <xdr:cNvPicPr>
            <a:picLocks noChangeAspect="1"/>
          </xdr:cNvPicPr>
        </xdr:nvPicPr>
        <xdr:blipFill>
          <a:blip xmlns:r="http://schemas.openxmlformats.org/officeDocument/2006/relationships" r:embed="rId7"/>
          <a:stretch>
            <a:fillRect/>
          </a:stretch>
        </xdr:blipFill>
        <xdr:spPr>
          <a:xfrm>
            <a:off x="10802471" y="7844117"/>
            <a:ext cx="10078857" cy="5182323"/>
          </a:xfrm>
          <a:prstGeom prst="rect">
            <a:avLst/>
          </a:prstGeom>
        </xdr:spPr>
      </xdr:pic>
      <xdr:sp macro="" textlink="">
        <xdr:nvSpPr>
          <xdr:cNvPr id="10" name="TextBox 9">
            <a:extLst>
              <a:ext uri="{FF2B5EF4-FFF2-40B4-BE49-F238E27FC236}">
                <a16:creationId xmlns:a16="http://schemas.microsoft.com/office/drawing/2014/main" id="{C44E6C36-8A14-0738-B979-7D1052519F1E}"/>
              </a:ext>
            </a:extLst>
          </xdr:cNvPr>
          <xdr:cNvSpPr txBox="1"/>
        </xdr:nvSpPr>
        <xdr:spPr>
          <a:xfrm>
            <a:off x="18105035" y="7963073"/>
            <a:ext cx="2682969" cy="16428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solidFill>
                  <a:schemeClr val="accent2">
                    <a:lumMod val="75000"/>
                  </a:schemeClr>
                </a:solidFill>
              </a:rPr>
              <a:t>Límite de Belén</a:t>
            </a:r>
          </a:p>
        </xdr:txBody>
      </xdr:sp>
    </xdr:grpSp>
    <xdr:clientData/>
  </xdr:twoCellAnchor>
  <xdr:twoCellAnchor>
    <xdr:from>
      <xdr:col>7</xdr:col>
      <xdr:colOff>44823</xdr:colOff>
      <xdr:row>133</xdr:row>
      <xdr:rowOff>51191</xdr:rowOff>
    </xdr:from>
    <xdr:to>
      <xdr:col>9</xdr:col>
      <xdr:colOff>224118</xdr:colOff>
      <xdr:row>144</xdr:row>
      <xdr:rowOff>174429</xdr:rowOff>
    </xdr:to>
    <xdr:grpSp>
      <xdr:nvGrpSpPr>
        <xdr:cNvPr id="13" name="Group 12">
          <a:extLst>
            <a:ext uri="{FF2B5EF4-FFF2-40B4-BE49-F238E27FC236}">
              <a16:creationId xmlns:a16="http://schemas.microsoft.com/office/drawing/2014/main" id="{EB0CBB35-AF24-196A-A682-2A3C87BEDDC8}"/>
            </a:ext>
          </a:extLst>
        </xdr:cNvPr>
        <xdr:cNvGrpSpPr/>
      </xdr:nvGrpSpPr>
      <xdr:grpSpPr>
        <a:xfrm>
          <a:off x="10979523" y="29169116"/>
          <a:ext cx="3313020" cy="2218738"/>
          <a:chOff x="11026587" y="5732572"/>
          <a:chExt cx="3395382" cy="2218738"/>
        </a:xfrm>
      </xdr:grpSpPr>
      <xdr:pic>
        <xdr:nvPicPr>
          <xdr:cNvPr id="3" name="Picture 2">
            <a:extLst>
              <a:ext uri="{FF2B5EF4-FFF2-40B4-BE49-F238E27FC236}">
                <a16:creationId xmlns:a16="http://schemas.microsoft.com/office/drawing/2014/main" id="{717E4284-7532-50A9-5DC9-4AE2FD0E8EB4}"/>
              </a:ext>
            </a:extLst>
          </xdr:cNvPr>
          <xdr:cNvPicPr>
            <a:picLocks noChangeAspect="1"/>
          </xdr:cNvPicPr>
        </xdr:nvPicPr>
        <xdr:blipFill>
          <a:blip xmlns:r="http://schemas.openxmlformats.org/officeDocument/2006/relationships" r:embed="rId8"/>
          <a:stretch>
            <a:fillRect/>
          </a:stretch>
        </xdr:blipFill>
        <xdr:spPr>
          <a:xfrm>
            <a:off x="11026587" y="5732572"/>
            <a:ext cx="3395382" cy="2218738"/>
          </a:xfrm>
          <a:prstGeom prst="rect">
            <a:avLst/>
          </a:prstGeom>
        </xdr:spPr>
      </xdr:pic>
      <xdr:sp macro="" textlink="">
        <xdr:nvSpPr>
          <xdr:cNvPr id="12" name="TextBox 11">
            <a:extLst>
              <a:ext uri="{FF2B5EF4-FFF2-40B4-BE49-F238E27FC236}">
                <a16:creationId xmlns:a16="http://schemas.microsoft.com/office/drawing/2014/main" id="{E0228249-2530-180B-2196-5401E4079CF3}"/>
              </a:ext>
            </a:extLst>
          </xdr:cNvPr>
          <xdr:cNvSpPr txBox="1"/>
        </xdr:nvSpPr>
        <xdr:spPr>
          <a:xfrm>
            <a:off x="11149852" y="5793442"/>
            <a:ext cx="1232647" cy="5154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100" b="1">
                <a:solidFill>
                  <a:schemeClr val="accent2">
                    <a:lumMod val="75000"/>
                  </a:schemeClr>
                </a:solidFill>
              </a:rPr>
              <a:t>Límite cantonal de referencia</a:t>
            </a:r>
          </a:p>
        </xdr:txBody>
      </xdr:sp>
    </xdr:grpSp>
    <xdr:clientData/>
  </xdr:twoCellAnchor>
  <xdr:twoCellAnchor>
    <xdr:from>
      <xdr:col>5</xdr:col>
      <xdr:colOff>840441</xdr:colOff>
      <xdr:row>152</xdr:row>
      <xdr:rowOff>44823</xdr:rowOff>
    </xdr:from>
    <xdr:to>
      <xdr:col>7</xdr:col>
      <xdr:colOff>347382</xdr:colOff>
      <xdr:row>162</xdr:row>
      <xdr:rowOff>112059</xdr:rowOff>
    </xdr:to>
    <xdr:grpSp>
      <xdr:nvGrpSpPr>
        <xdr:cNvPr id="14" name="Group 13">
          <a:extLst>
            <a:ext uri="{FF2B5EF4-FFF2-40B4-BE49-F238E27FC236}">
              <a16:creationId xmlns:a16="http://schemas.microsoft.com/office/drawing/2014/main" id="{EF924E6E-575C-4A5A-ABEA-3146116EDDE6}"/>
            </a:ext>
          </a:extLst>
        </xdr:cNvPr>
        <xdr:cNvGrpSpPr/>
      </xdr:nvGrpSpPr>
      <xdr:grpSpPr>
        <a:xfrm>
          <a:off x="8508066" y="33029898"/>
          <a:ext cx="2774016" cy="1972236"/>
          <a:chOff x="11026587" y="5732572"/>
          <a:chExt cx="3395382" cy="2218738"/>
        </a:xfrm>
      </xdr:grpSpPr>
      <xdr:pic>
        <xdr:nvPicPr>
          <xdr:cNvPr id="15" name="Picture 14">
            <a:extLst>
              <a:ext uri="{FF2B5EF4-FFF2-40B4-BE49-F238E27FC236}">
                <a16:creationId xmlns:a16="http://schemas.microsoft.com/office/drawing/2014/main" id="{8C95BDC3-FE8A-BF37-CFF7-2088350037BB}"/>
              </a:ext>
            </a:extLst>
          </xdr:cNvPr>
          <xdr:cNvPicPr>
            <a:picLocks noChangeAspect="1"/>
          </xdr:cNvPicPr>
        </xdr:nvPicPr>
        <xdr:blipFill>
          <a:blip xmlns:r="http://schemas.openxmlformats.org/officeDocument/2006/relationships" r:embed="rId8"/>
          <a:stretch>
            <a:fillRect/>
          </a:stretch>
        </xdr:blipFill>
        <xdr:spPr>
          <a:xfrm>
            <a:off x="11026587" y="5732572"/>
            <a:ext cx="3395382" cy="2218738"/>
          </a:xfrm>
          <a:prstGeom prst="rect">
            <a:avLst/>
          </a:prstGeom>
        </xdr:spPr>
      </xdr:pic>
      <xdr:sp macro="" textlink="">
        <xdr:nvSpPr>
          <xdr:cNvPr id="16" name="TextBox 15">
            <a:extLst>
              <a:ext uri="{FF2B5EF4-FFF2-40B4-BE49-F238E27FC236}">
                <a16:creationId xmlns:a16="http://schemas.microsoft.com/office/drawing/2014/main" id="{D096973C-25D3-8923-2AA2-20C42D794EB2}"/>
              </a:ext>
            </a:extLst>
          </xdr:cNvPr>
          <xdr:cNvSpPr txBox="1"/>
        </xdr:nvSpPr>
        <xdr:spPr>
          <a:xfrm>
            <a:off x="11149852" y="5793442"/>
            <a:ext cx="1505971" cy="5154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100" b="1">
                <a:solidFill>
                  <a:schemeClr val="accent2">
                    <a:lumMod val="75000"/>
                  </a:schemeClr>
                </a:solidFill>
              </a:rPr>
              <a:t>Límite cantonal de referencia</a:t>
            </a:r>
          </a:p>
        </xdr:txBody>
      </xdr:sp>
    </xdr:grpSp>
    <xdr:clientData/>
  </xdr:twoCellAnchor>
  <xdr:twoCellAnchor>
    <xdr:from>
      <xdr:col>3</xdr:col>
      <xdr:colOff>820520</xdr:colOff>
      <xdr:row>172</xdr:row>
      <xdr:rowOff>188008</xdr:rowOff>
    </xdr:from>
    <xdr:to>
      <xdr:col>5</xdr:col>
      <xdr:colOff>423334</xdr:colOff>
      <xdr:row>184</xdr:row>
      <xdr:rowOff>105833</xdr:rowOff>
    </xdr:to>
    <xdr:grpSp>
      <xdr:nvGrpSpPr>
        <xdr:cNvPr id="21" name="Group 20">
          <a:extLst>
            <a:ext uri="{FF2B5EF4-FFF2-40B4-BE49-F238E27FC236}">
              <a16:creationId xmlns:a16="http://schemas.microsoft.com/office/drawing/2014/main" id="{992EB18B-9C63-4BD3-ABC4-6D29C8B42FDF}"/>
            </a:ext>
          </a:extLst>
        </xdr:cNvPr>
        <xdr:cNvGrpSpPr/>
      </xdr:nvGrpSpPr>
      <xdr:grpSpPr>
        <a:xfrm>
          <a:off x="5287745" y="37259308"/>
          <a:ext cx="2803214" cy="2203825"/>
          <a:chOff x="11026587" y="5732572"/>
          <a:chExt cx="3395382" cy="2218738"/>
        </a:xfrm>
      </xdr:grpSpPr>
      <xdr:pic>
        <xdr:nvPicPr>
          <xdr:cNvPr id="22" name="Picture 21">
            <a:extLst>
              <a:ext uri="{FF2B5EF4-FFF2-40B4-BE49-F238E27FC236}">
                <a16:creationId xmlns:a16="http://schemas.microsoft.com/office/drawing/2014/main" id="{8D6AA6E3-1CA2-CD95-FBC2-F7B8EDD859EE}"/>
              </a:ext>
            </a:extLst>
          </xdr:cNvPr>
          <xdr:cNvPicPr>
            <a:picLocks noChangeAspect="1"/>
          </xdr:cNvPicPr>
        </xdr:nvPicPr>
        <xdr:blipFill>
          <a:blip xmlns:r="http://schemas.openxmlformats.org/officeDocument/2006/relationships" r:embed="rId8"/>
          <a:stretch>
            <a:fillRect/>
          </a:stretch>
        </xdr:blipFill>
        <xdr:spPr>
          <a:xfrm>
            <a:off x="11026587" y="5732572"/>
            <a:ext cx="3395382" cy="2218738"/>
          </a:xfrm>
          <a:prstGeom prst="rect">
            <a:avLst/>
          </a:prstGeom>
        </xdr:spPr>
      </xdr:pic>
      <xdr:sp macro="" textlink="">
        <xdr:nvSpPr>
          <xdr:cNvPr id="23" name="TextBox 22">
            <a:extLst>
              <a:ext uri="{FF2B5EF4-FFF2-40B4-BE49-F238E27FC236}">
                <a16:creationId xmlns:a16="http://schemas.microsoft.com/office/drawing/2014/main" id="{9B1135A4-5218-7859-C5F2-17ED28C6AE7A}"/>
              </a:ext>
            </a:extLst>
          </xdr:cNvPr>
          <xdr:cNvSpPr txBox="1"/>
        </xdr:nvSpPr>
        <xdr:spPr>
          <a:xfrm>
            <a:off x="11149852" y="5793442"/>
            <a:ext cx="1505971" cy="5154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100" b="1">
                <a:solidFill>
                  <a:schemeClr val="accent2">
                    <a:lumMod val="75000"/>
                  </a:schemeClr>
                </a:solidFill>
              </a:rPr>
              <a:t>Límite cantonal de referencia</a:t>
            </a:r>
          </a:p>
        </xdr:txBody>
      </xdr:sp>
    </xdr:grpSp>
    <xdr:clientData/>
  </xdr:twoCellAnchor>
  <xdr:twoCellAnchor>
    <xdr:from>
      <xdr:col>1</xdr:col>
      <xdr:colOff>64747</xdr:colOff>
      <xdr:row>172</xdr:row>
      <xdr:rowOff>182779</xdr:rowOff>
    </xdr:from>
    <xdr:to>
      <xdr:col>3</xdr:col>
      <xdr:colOff>635000</xdr:colOff>
      <xdr:row>184</xdr:row>
      <xdr:rowOff>116364</xdr:rowOff>
    </xdr:to>
    <xdr:grpSp>
      <xdr:nvGrpSpPr>
        <xdr:cNvPr id="26" name="Group 25">
          <a:extLst>
            <a:ext uri="{FF2B5EF4-FFF2-40B4-BE49-F238E27FC236}">
              <a16:creationId xmlns:a16="http://schemas.microsoft.com/office/drawing/2014/main" id="{FA09D321-2DEA-AED5-A07A-77EE7E0E32EA}"/>
            </a:ext>
          </a:extLst>
        </xdr:cNvPr>
        <xdr:cNvGrpSpPr/>
      </xdr:nvGrpSpPr>
      <xdr:grpSpPr>
        <a:xfrm>
          <a:off x="674347" y="37254079"/>
          <a:ext cx="4427878" cy="2219585"/>
          <a:chOff x="678580" y="22270196"/>
          <a:chExt cx="4433170" cy="2219585"/>
        </a:xfrm>
      </xdr:grpSpPr>
      <xdr:pic>
        <xdr:nvPicPr>
          <xdr:cNvPr id="17" name="Picture 16">
            <a:extLst>
              <a:ext uri="{FF2B5EF4-FFF2-40B4-BE49-F238E27FC236}">
                <a16:creationId xmlns:a16="http://schemas.microsoft.com/office/drawing/2014/main" id="{B25A40DC-4E99-5CCD-7A79-6580EB31B5E1}"/>
              </a:ext>
            </a:extLst>
          </xdr:cNvPr>
          <xdr:cNvPicPr>
            <a:picLocks noChangeAspect="1"/>
          </xdr:cNvPicPr>
        </xdr:nvPicPr>
        <xdr:blipFill>
          <a:blip xmlns:r="http://schemas.openxmlformats.org/officeDocument/2006/relationships" r:embed="rId9"/>
          <a:stretch>
            <a:fillRect/>
          </a:stretch>
        </xdr:blipFill>
        <xdr:spPr>
          <a:xfrm>
            <a:off x="678580" y="22270196"/>
            <a:ext cx="4433170" cy="2219585"/>
          </a:xfrm>
          <a:prstGeom prst="rect">
            <a:avLst/>
          </a:prstGeom>
        </xdr:spPr>
      </xdr:pic>
      <xdr:sp macro="" textlink="">
        <xdr:nvSpPr>
          <xdr:cNvPr id="25" name="TextBox 24">
            <a:extLst>
              <a:ext uri="{FF2B5EF4-FFF2-40B4-BE49-F238E27FC236}">
                <a16:creationId xmlns:a16="http://schemas.microsoft.com/office/drawing/2014/main" id="{93D79168-34CA-4243-6508-FE252CC7F1D7}"/>
              </a:ext>
            </a:extLst>
          </xdr:cNvPr>
          <xdr:cNvSpPr txBox="1"/>
        </xdr:nvSpPr>
        <xdr:spPr>
          <a:xfrm>
            <a:off x="2307167" y="22288500"/>
            <a:ext cx="772583"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accent2">
                    <a:lumMod val="75000"/>
                  </a:schemeClr>
                </a:solidFill>
              </a:rPr>
              <a:t>Aczarri</a:t>
            </a:r>
          </a:p>
        </xdr:txBody>
      </xdr:sp>
    </xdr:grpSp>
    <xdr:clientData/>
  </xdr:twoCellAnchor>
  <xdr:twoCellAnchor>
    <xdr:from>
      <xdr:col>1</xdr:col>
      <xdr:colOff>21167</xdr:colOff>
      <xdr:row>186</xdr:row>
      <xdr:rowOff>13134</xdr:rowOff>
    </xdr:from>
    <xdr:to>
      <xdr:col>3</xdr:col>
      <xdr:colOff>687917</xdr:colOff>
      <xdr:row>195</xdr:row>
      <xdr:rowOff>131217</xdr:rowOff>
    </xdr:to>
    <xdr:grpSp>
      <xdr:nvGrpSpPr>
        <xdr:cNvPr id="29" name="Group 28">
          <a:extLst>
            <a:ext uri="{FF2B5EF4-FFF2-40B4-BE49-F238E27FC236}">
              <a16:creationId xmlns:a16="http://schemas.microsoft.com/office/drawing/2014/main" id="{4F37D108-05E6-A480-67F2-11DAF1084AC9}"/>
            </a:ext>
          </a:extLst>
        </xdr:cNvPr>
        <xdr:cNvGrpSpPr/>
      </xdr:nvGrpSpPr>
      <xdr:grpSpPr>
        <a:xfrm>
          <a:off x="630767" y="39751434"/>
          <a:ext cx="4524375" cy="1832583"/>
          <a:chOff x="635000" y="24767551"/>
          <a:chExt cx="4529667" cy="1832583"/>
        </a:xfrm>
      </xdr:grpSpPr>
      <xdr:pic>
        <xdr:nvPicPr>
          <xdr:cNvPr id="27" name="Picture 26">
            <a:extLst>
              <a:ext uri="{FF2B5EF4-FFF2-40B4-BE49-F238E27FC236}">
                <a16:creationId xmlns:a16="http://schemas.microsoft.com/office/drawing/2014/main" id="{27778A44-32BA-0797-EFC2-34214315D608}"/>
              </a:ext>
            </a:extLst>
          </xdr:cNvPr>
          <xdr:cNvPicPr>
            <a:picLocks noChangeAspect="1"/>
          </xdr:cNvPicPr>
        </xdr:nvPicPr>
        <xdr:blipFill>
          <a:blip xmlns:r="http://schemas.openxmlformats.org/officeDocument/2006/relationships" r:embed="rId10"/>
          <a:stretch>
            <a:fillRect/>
          </a:stretch>
        </xdr:blipFill>
        <xdr:spPr>
          <a:xfrm>
            <a:off x="635000" y="24767551"/>
            <a:ext cx="4529667" cy="1832583"/>
          </a:xfrm>
          <a:prstGeom prst="rect">
            <a:avLst/>
          </a:prstGeom>
        </xdr:spPr>
      </xdr:pic>
      <xdr:sp macro="" textlink="">
        <xdr:nvSpPr>
          <xdr:cNvPr id="28" name="TextBox 27">
            <a:extLst>
              <a:ext uri="{FF2B5EF4-FFF2-40B4-BE49-F238E27FC236}">
                <a16:creationId xmlns:a16="http://schemas.microsoft.com/office/drawing/2014/main" id="{039CC403-0026-4F9A-9BE8-BE72F1FBBFBB}"/>
              </a:ext>
            </a:extLst>
          </xdr:cNvPr>
          <xdr:cNvSpPr txBox="1"/>
        </xdr:nvSpPr>
        <xdr:spPr>
          <a:xfrm>
            <a:off x="2297830" y="24947780"/>
            <a:ext cx="772583"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accent2">
                    <a:lumMod val="75000"/>
                  </a:schemeClr>
                </a:solidFill>
              </a:rPr>
              <a:t>Uruca</a:t>
            </a:r>
          </a:p>
        </xdr:txBody>
      </xdr:sp>
    </xdr:grpSp>
    <xdr:clientData/>
  </xdr:twoCellAnchor>
  <xdr:twoCellAnchor>
    <xdr:from>
      <xdr:col>3</xdr:col>
      <xdr:colOff>845919</xdr:colOff>
      <xdr:row>185</xdr:row>
      <xdr:rowOff>171076</xdr:rowOff>
    </xdr:from>
    <xdr:to>
      <xdr:col>5</xdr:col>
      <xdr:colOff>52916</xdr:colOff>
      <xdr:row>195</xdr:row>
      <xdr:rowOff>169334</xdr:rowOff>
    </xdr:to>
    <xdr:grpSp>
      <xdr:nvGrpSpPr>
        <xdr:cNvPr id="30" name="Group 29">
          <a:extLst>
            <a:ext uri="{FF2B5EF4-FFF2-40B4-BE49-F238E27FC236}">
              <a16:creationId xmlns:a16="http://schemas.microsoft.com/office/drawing/2014/main" id="{F372225E-B2D9-40BC-95CD-F67C1712761B}"/>
            </a:ext>
          </a:extLst>
        </xdr:cNvPr>
        <xdr:cNvGrpSpPr/>
      </xdr:nvGrpSpPr>
      <xdr:grpSpPr>
        <a:xfrm>
          <a:off x="5313144" y="39718876"/>
          <a:ext cx="2407397" cy="1903258"/>
          <a:chOff x="11026587" y="5732572"/>
          <a:chExt cx="3395382" cy="2218738"/>
        </a:xfrm>
      </xdr:grpSpPr>
      <xdr:pic>
        <xdr:nvPicPr>
          <xdr:cNvPr id="31" name="Picture 30">
            <a:extLst>
              <a:ext uri="{FF2B5EF4-FFF2-40B4-BE49-F238E27FC236}">
                <a16:creationId xmlns:a16="http://schemas.microsoft.com/office/drawing/2014/main" id="{DF7BF24B-C81F-4875-A942-BC57B7401750}"/>
              </a:ext>
            </a:extLst>
          </xdr:cNvPr>
          <xdr:cNvPicPr>
            <a:picLocks noChangeAspect="1"/>
          </xdr:cNvPicPr>
        </xdr:nvPicPr>
        <xdr:blipFill>
          <a:blip xmlns:r="http://schemas.openxmlformats.org/officeDocument/2006/relationships" r:embed="rId8"/>
          <a:stretch>
            <a:fillRect/>
          </a:stretch>
        </xdr:blipFill>
        <xdr:spPr>
          <a:xfrm>
            <a:off x="11026587" y="5732572"/>
            <a:ext cx="3395382" cy="2218738"/>
          </a:xfrm>
          <a:prstGeom prst="rect">
            <a:avLst/>
          </a:prstGeom>
        </xdr:spPr>
      </xdr:pic>
      <xdr:sp macro="" textlink="">
        <xdr:nvSpPr>
          <xdr:cNvPr id="32" name="TextBox 31">
            <a:extLst>
              <a:ext uri="{FF2B5EF4-FFF2-40B4-BE49-F238E27FC236}">
                <a16:creationId xmlns:a16="http://schemas.microsoft.com/office/drawing/2014/main" id="{ECE81686-1856-5109-DDC4-3DFD9BB92DD8}"/>
              </a:ext>
            </a:extLst>
          </xdr:cNvPr>
          <xdr:cNvSpPr txBox="1"/>
        </xdr:nvSpPr>
        <xdr:spPr>
          <a:xfrm>
            <a:off x="11149852" y="5793442"/>
            <a:ext cx="1619615" cy="5154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100" b="1">
                <a:solidFill>
                  <a:schemeClr val="accent2">
                    <a:lumMod val="75000"/>
                  </a:schemeClr>
                </a:solidFill>
              </a:rPr>
              <a:t>Límite cantonal de referencia</a:t>
            </a:r>
          </a:p>
        </xdr:txBody>
      </xdr:sp>
    </xdr:grpSp>
    <xdr:clientData/>
  </xdr:twoCellAnchor>
  <xdr:twoCellAnchor>
    <xdr:from>
      <xdr:col>5</xdr:col>
      <xdr:colOff>559288</xdr:colOff>
      <xdr:row>173</xdr:row>
      <xdr:rowOff>40432</xdr:rowOff>
    </xdr:from>
    <xdr:to>
      <xdr:col>9</xdr:col>
      <xdr:colOff>264583</xdr:colOff>
      <xdr:row>184</xdr:row>
      <xdr:rowOff>118088</xdr:rowOff>
    </xdr:to>
    <xdr:grpSp>
      <xdr:nvGrpSpPr>
        <xdr:cNvPr id="36" name="Group 35">
          <a:extLst>
            <a:ext uri="{FF2B5EF4-FFF2-40B4-BE49-F238E27FC236}">
              <a16:creationId xmlns:a16="http://schemas.microsoft.com/office/drawing/2014/main" id="{A9262418-3314-F7E0-B9D9-30A996CE14AF}"/>
            </a:ext>
          </a:extLst>
        </xdr:cNvPr>
        <xdr:cNvGrpSpPr/>
      </xdr:nvGrpSpPr>
      <xdr:grpSpPr>
        <a:xfrm>
          <a:off x="8226913" y="37302232"/>
          <a:ext cx="6106095" cy="2173156"/>
          <a:chOff x="8242788" y="22318349"/>
          <a:chExt cx="6108212" cy="2173156"/>
        </a:xfrm>
      </xdr:grpSpPr>
      <xdr:pic>
        <xdr:nvPicPr>
          <xdr:cNvPr id="24" name="Picture 23">
            <a:extLst>
              <a:ext uri="{FF2B5EF4-FFF2-40B4-BE49-F238E27FC236}">
                <a16:creationId xmlns:a16="http://schemas.microsoft.com/office/drawing/2014/main" id="{A577491A-F5B0-551D-756B-E0DD21C943ED}"/>
              </a:ext>
            </a:extLst>
          </xdr:cNvPr>
          <xdr:cNvPicPr>
            <a:picLocks noChangeAspect="1"/>
          </xdr:cNvPicPr>
        </xdr:nvPicPr>
        <xdr:blipFill>
          <a:blip xmlns:r="http://schemas.openxmlformats.org/officeDocument/2006/relationships" r:embed="rId11"/>
          <a:stretch>
            <a:fillRect/>
          </a:stretch>
        </xdr:blipFill>
        <xdr:spPr>
          <a:xfrm>
            <a:off x="8242788" y="22318349"/>
            <a:ext cx="6108212" cy="2173156"/>
          </a:xfrm>
          <a:prstGeom prst="rect">
            <a:avLst/>
          </a:prstGeom>
        </xdr:spPr>
      </xdr:pic>
      <xdr:sp macro="" textlink="">
        <xdr:nvSpPr>
          <xdr:cNvPr id="34" name="TextBox 33">
            <a:extLst>
              <a:ext uri="{FF2B5EF4-FFF2-40B4-BE49-F238E27FC236}">
                <a16:creationId xmlns:a16="http://schemas.microsoft.com/office/drawing/2014/main" id="{F3B51D02-6ACC-454C-A796-2B2E55423D99}"/>
              </a:ext>
            </a:extLst>
          </xdr:cNvPr>
          <xdr:cNvSpPr txBox="1"/>
        </xdr:nvSpPr>
        <xdr:spPr>
          <a:xfrm>
            <a:off x="13238122" y="22318349"/>
            <a:ext cx="969966" cy="61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600" b="1">
                <a:solidFill>
                  <a:schemeClr val="accent2">
                    <a:lumMod val="75000"/>
                  </a:schemeClr>
                </a:solidFill>
              </a:rPr>
              <a:t>Límite de Belén</a:t>
            </a:r>
          </a:p>
        </xdr:txBody>
      </xdr:sp>
    </xdr:grpSp>
    <xdr:clientData/>
  </xdr:twoCellAnchor>
  <xdr:twoCellAnchor>
    <xdr:from>
      <xdr:col>5</xdr:col>
      <xdr:colOff>193104</xdr:colOff>
      <xdr:row>185</xdr:row>
      <xdr:rowOff>139916</xdr:rowOff>
    </xdr:from>
    <xdr:to>
      <xdr:col>8</xdr:col>
      <xdr:colOff>1047750</xdr:colOff>
      <xdr:row>196</xdr:row>
      <xdr:rowOff>16505</xdr:rowOff>
    </xdr:to>
    <xdr:grpSp>
      <xdr:nvGrpSpPr>
        <xdr:cNvPr id="37" name="Group 36">
          <a:extLst>
            <a:ext uri="{FF2B5EF4-FFF2-40B4-BE49-F238E27FC236}">
              <a16:creationId xmlns:a16="http://schemas.microsoft.com/office/drawing/2014/main" id="{E4956F44-AE25-4889-EF13-042423D32BF9}"/>
            </a:ext>
          </a:extLst>
        </xdr:cNvPr>
        <xdr:cNvGrpSpPr/>
      </xdr:nvGrpSpPr>
      <xdr:grpSpPr>
        <a:xfrm>
          <a:off x="7860729" y="39687716"/>
          <a:ext cx="5540946" cy="1972089"/>
          <a:chOff x="7876604" y="24703833"/>
          <a:chExt cx="5543063" cy="1972089"/>
        </a:xfrm>
      </xdr:grpSpPr>
      <xdr:pic>
        <xdr:nvPicPr>
          <xdr:cNvPr id="33" name="Picture 32">
            <a:extLst>
              <a:ext uri="{FF2B5EF4-FFF2-40B4-BE49-F238E27FC236}">
                <a16:creationId xmlns:a16="http://schemas.microsoft.com/office/drawing/2014/main" id="{67C99B70-2457-4369-A9FF-93263D464430}"/>
              </a:ext>
            </a:extLst>
          </xdr:cNvPr>
          <xdr:cNvPicPr>
            <a:picLocks noChangeAspect="1"/>
          </xdr:cNvPicPr>
        </xdr:nvPicPr>
        <xdr:blipFill>
          <a:blip xmlns:r="http://schemas.openxmlformats.org/officeDocument/2006/relationships" r:embed="rId11"/>
          <a:stretch>
            <a:fillRect/>
          </a:stretch>
        </xdr:blipFill>
        <xdr:spPr>
          <a:xfrm>
            <a:off x="7876604" y="24703833"/>
            <a:ext cx="5543063" cy="1972089"/>
          </a:xfrm>
          <a:prstGeom prst="rect">
            <a:avLst/>
          </a:prstGeom>
        </xdr:spPr>
      </xdr:pic>
      <xdr:sp macro="" textlink="">
        <xdr:nvSpPr>
          <xdr:cNvPr id="35" name="TextBox 34">
            <a:extLst>
              <a:ext uri="{FF2B5EF4-FFF2-40B4-BE49-F238E27FC236}">
                <a16:creationId xmlns:a16="http://schemas.microsoft.com/office/drawing/2014/main" id="{38F39369-C689-45DD-92A6-C4B8592E28C9}"/>
              </a:ext>
            </a:extLst>
          </xdr:cNvPr>
          <xdr:cNvSpPr txBox="1"/>
        </xdr:nvSpPr>
        <xdr:spPr>
          <a:xfrm>
            <a:off x="9686356" y="26047915"/>
            <a:ext cx="969966" cy="61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600" b="1">
                <a:solidFill>
                  <a:schemeClr val="accent2">
                    <a:lumMod val="75000"/>
                  </a:schemeClr>
                </a:solidFill>
              </a:rPr>
              <a:t>Límite de Belén</a:t>
            </a:r>
          </a:p>
        </xdr:txBody>
      </xdr:sp>
    </xdr:grp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ropbox/Biomatec_Proyectos%20Internos/01_EN%20EJECUCI&#211;N/01_INVENTARIOS%20DE%20GEI/00_CANTONALES/PARA&#205;SO/03_Inventario%20GEI/BIOMATEC_Muni%20Para&#237;so_C&#225;lculo%20Inventario%20GEI_PPCNC%20202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Dropbox/Biomatec_Proyectos%20Internos/01_EN%20EJECUCI&#211;N/MONTEVERDE/07_Entrega%20final/06_Aclaraciones/Actualizado_BIOMATEC_MONTEVERDE_C&#225;lculo%20GEI%20con%20remociones.xlsx" TargetMode="External"/></Relationships>
</file>

<file path=xl/externalLinks/_rels/externalLink3.xml.rels><?xml version="1.0" encoding="UTF-8" standalone="yes"?>
<Relationships xmlns="http://schemas.openxmlformats.org/package/2006/relationships"><Relationship Id="rId2" Type="http://schemas.microsoft.com/office/2019/04/relationships/externalLinkLongPath" Target="/Dropbox/Biomatec_Proyectos%20Internos/01_EN%20EJECUCI&#211;N/01_INVENTARIOS%20DE%20GEI/00_CANTONALES/BEL&#201;N_GEI/02_Datos%20recopilados/00_General/Comercios/Sistematizaci&#243;n%20de%20resultados/Sistematizaci&#243;n%20de%20resultados_Comercios_Municipalidad%20de%20Bel&#233;n.xlsx?0ACEAC00" TargetMode="External"/><Relationship Id="rId1" Type="http://schemas.openxmlformats.org/officeDocument/2006/relationships/externalLinkPath" Target="file:///\\0ACEAC00\Sistematizaci&#243;n%20de%20resultados_Comercios_Municipalidad%20de%20Bel&#233;n.xlsx" TargetMode="External"/></Relationships>
</file>

<file path=xl/externalLinks/_rels/externalLink4.xml.rels><?xml version="1.0" encoding="UTF-8" standalone="yes"?>
<Relationships xmlns="http://schemas.openxmlformats.org/package/2006/relationships"><Relationship Id="rId2" Type="http://schemas.microsoft.com/office/2019/04/relationships/externalLinkLongPath" Target="/Dropbox/Biomatec_Proyectos%20Internos/01_EN%20EJECUCI&#211;N/01_INVENTARIOS%20DE%20GEI/00_CANTONALES/BEL&#201;N_GEI/02_Datos%20recopilados/00_General/Industria/BIOMATEC-BEL&#201;N-Sistematizaci&#243;n%20de%20Industrias.xlsx?FC1B302D" TargetMode="External"/><Relationship Id="rId1" Type="http://schemas.openxmlformats.org/officeDocument/2006/relationships/externalLinkPath" Target="file:///\\FC1B302D\BIOMATEC-BEL&#201;N-Sistematizaci&#243;n%20de%20Industrias.xlsx" TargetMode="External"/></Relationships>
</file>

<file path=xl/externalLinks/_rels/externalLink5.xml.rels><?xml version="1.0" encoding="UTF-8" standalone="yes"?>
<Relationships xmlns="http://schemas.openxmlformats.org/package/2006/relationships"><Relationship Id="rId2" Type="http://schemas.microsoft.com/office/2019/04/relationships/externalLinkLongPath" Target="/Dropbox/Biomatec_Proyectos%20Internos/01_EN%20EJECUCI&#211;N/01_INVENTARIOS%20DE%20GEI/00_CANTONALES/BEL&#201;N_GEI/02_Datos%20recopilados/00_General/Encuestas/Agropecuario/Sistematizaci&#243;n%20de%20resultados/Sistematizaci&#243;n%20de%20resultados_Agropecuario_Bel&#233;n.xlsx?375AFF9C" TargetMode="External"/><Relationship Id="rId1" Type="http://schemas.openxmlformats.org/officeDocument/2006/relationships/externalLinkPath" Target="file:///\\375AFF9C\Sistematizaci&#243;n%20de%20resultados_Agropecuario_Bel&#233;n.xlsx" TargetMode="External"/></Relationships>
</file>

<file path=xl/externalLinks/_rels/externalLink6.xml.rels><?xml version="1.0" encoding="UTF-8" standalone="yes"?>
<Relationships xmlns="http://schemas.openxmlformats.org/package/2006/relationships"><Relationship Id="rId2" Type="http://schemas.microsoft.com/office/2019/04/relationships/externalLinkLongPath" Target="/Dropbox/Biomatec_Proyectos%20Internos/01_EN%20EJECUCI&#211;N/01_INVENTARIOS%20DE%20GEI/00_CANTONALES/BEL&#201;N_GEI/02_Datos%20recopilados/00_General/Agropecuario/Sistematizaci&#243;n%20de%20resultados/Sistematizaci&#243;n%20de%20resultados_Agropecuario_Bel&#233;n.xlsx?558D0EAB" TargetMode="External"/><Relationship Id="rId1" Type="http://schemas.openxmlformats.org/officeDocument/2006/relationships/externalLinkPath" Target="file:///\\558D0EAB\Sistematizaci&#243;n%20de%20resultados_Agropecuario_Bel&#233;n.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0"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formación general"/>
      <sheetName val="1.1. Descripción de la ciudad"/>
      <sheetName val="1.2. Fuentes de información"/>
      <sheetName val="1.3. Factores de emisión"/>
      <sheetName val="2.1. Energía estacionaria"/>
      <sheetName val="2.2. Transporte"/>
      <sheetName val="2.3. Residuos"/>
      <sheetName val="2.4. IPPU"/>
      <sheetName val="2.5. AFOLU"/>
      <sheetName val="3. Emisiones netas"/>
      <sheetName val="4.1. ANEXOS Energía"/>
      <sheetName val="4.2. ANEXOS Transporte"/>
      <sheetName val="4.3. ANEXOS Residuos"/>
      <sheetName val="4.4. ANEXOS IPPU"/>
      <sheetName val="4.5. ANEXOS AFOLU"/>
      <sheetName val="Ganadería"/>
    </sheetNames>
    <sheetDataSet>
      <sheetData sheetId="0"/>
      <sheetData sheetId="1"/>
      <sheetData sheetId="2"/>
      <sheetData sheetId="3">
        <row r="12">
          <cell r="D12" t="str">
            <v>kg CH4/persona/año</v>
          </cell>
        </row>
        <row r="185">
          <cell r="E185">
            <v>21</v>
          </cell>
        </row>
        <row r="186">
          <cell r="E186">
            <v>310</v>
          </cell>
        </row>
      </sheetData>
      <sheetData sheetId="4"/>
      <sheetData sheetId="5"/>
      <sheetData sheetId="6"/>
      <sheetData sheetId="7"/>
      <sheetData sheetId="8"/>
      <sheetData sheetId="9"/>
      <sheetData sheetId="10"/>
      <sheetData sheetId="11"/>
      <sheetData sheetId="12"/>
      <sheetData sheetId="13"/>
      <sheetData sheetId="14">
        <row r="387">
          <cell r="N387">
            <v>3.6666666666666665</v>
          </cell>
        </row>
      </sheetData>
      <sheetData sheetId="15"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formación general"/>
      <sheetName val="1.1. Descripción de la ciudad"/>
      <sheetName val="1.2. Fuentes de información"/>
      <sheetName val="1.3. Factores de emisión"/>
      <sheetName val="2.1. Energía estacionaria"/>
      <sheetName val="2.2. Transporte"/>
      <sheetName val="2.3. Residuos"/>
      <sheetName val="2.4. IPPU"/>
      <sheetName val="2.5. AFOLU"/>
      <sheetName val="3. Emisiones netas"/>
      <sheetName val="4.1. ANEXOS Energía"/>
      <sheetName val="4.2 ANEXOS Transporte"/>
      <sheetName val="4.3 ANEXOS Residuos"/>
      <sheetName val="4.4 ANEXOS IPPU"/>
      <sheetName val="4.5. AFOLU"/>
    </sheetNames>
    <sheetDataSet>
      <sheetData sheetId="0"/>
      <sheetData sheetId="1"/>
      <sheetData sheetId="2"/>
      <sheetData sheetId="3"/>
      <sheetData sheetId="4"/>
      <sheetData sheetId="5"/>
      <sheetData sheetId="6"/>
      <sheetData sheetId="7">
        <row r="61">
          <cell r="L61">
            <v>0</v>
          </cell>
          <cell r="M61">
            <v>0</v>
          </cell>
          <cell r="N61">
            <v>0</v>
          </cell>
          <cell r="O61">
            <v>0</v>
          </cell>
          <cell r="P61">
            <v>0</v>
          </cell>
          <cell r="Q61">
            <v>0</v>
          </cell>
          <cell r="R61">
            <v>0</v>
          </cell>
        </row>
      </sheetData>
      <sheetData sheetId="8"/>
      <sheetData sheetId="9"/>
      <sheetData sheetId="10"/>
      <sheetData sheetId="11"/>
      <sheetData sheetId="12"/>
      <sheetData sheetId="13"/>
      <sheetData sheetId="14"/>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spuestas"/>
      <sheetName val="Info General"/>
      <sheetName val="Energía Estacionaria"/>
      <sheetName val="Equipo Estacionario"/>
      <sheetName val="Equipo Móvil"/>
      <sheetName val="Vehículos de Trabajo"/>
      <sheetName val="Vehículos Propios"/>
      <sheetName val="Movilidad"/>
      <sheetName val="Uso de Productos"/>
      <sheetName val="Refrigerantes"/>
      <sheetName val="Residuos Sólidos"/>
      <sheetName val="Aguas Residuales"/>
      <sheetName val="Biogestión"/>
      <sheetName val="AFOLU"/>
      <sheetName val="Mitigació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205">
          <cell r="A205" t="str">
            <v>Equipos R134a</v>
          </cell>
          <cell r="B205">
            <v>37</v>
          </cell>
        </row>
        <row r="206">
          <cell r="A206" t="str">
            <v>Equipos R51</v>
          </cell>
          <cell r="B206">
            <v>1</v>
          </cell>
        </row>
        <row r="207">
          <cell r="A207" t="str">
            <v>Equipos R410a</v>
          </cell>
          <cell r="B207">
            <v>29</v>
          </cell>
        </row>
        <row r="208">
          <cell r="A208" t="str">
            <v>Equipos R22</v>
          </cell>
          <cell r="B208">
            <v>26</v>
          </cell>
        </row>
        <row r="209">
          <cell r="A209" t="str">
            <v>Equipos Freón</v>
          </cell>
          <cell r="B209">
            <v>2</v>
          </cell>
        </row>
        <row r="272">
          <cell r="A272" t="str">
            <v>Refrigeradores</v>
          </cell>
          <cell r="B272">
            <v>97</v>
          </cell>
        </row>
        <row r="273">
          <cell r="A273" t="str">
            <v>Enfriadores</v>
          </cell>
          <cell r="B273">
            <v>25</v>
          </cell>
        </row>
        <row r="274">
          <cell r="A274" t="str">
            <v>Congeladores</v>
          </cell>
          <cell r="B274">
            <v>36</v>
          </cell>
        </row>
        <row r="337">
          <cell r="A337" t="str">
            <v>Equipos R134a</v>
          </cell>
          <cell r="B337">
            <v>9</v>
          </cell>
        </row>
        <row r="338">
          <cell r="A338" t="str">
            <v>Equipos Freón</v>
          </cell>
          <cell r="B338">
            <v>1</v>
          </cell>
        </row>
      </sheetData>
      <sheetData sheetId="10" refreshError="1"/>
      <sheetData sheetId="11" refreshError="1"/>
      <sheetData sheetId="12" refreshError="1"/>
      <sheetData sheetId="13" refreshError="1"/>
      <sheetData sheetId="14"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spuestas"/>
      <sheetName val="Info General"/>
      <sheetName val="Energía Estacionaria"/>
      <sheetName val="Equipo Estacionario"/>
      <sheetName val="Equipo Móvil"/>
      <sheetName val="Vehículos de trabajo"/>
      <sheetName val="Vehículos de pasajeros"/>
      <sheetName val="Movilidad"/>
      <sheetName val="Extint.Lub.Paraf."/>
      <sheetName val="Refrigerantes"/>
      <sheetName val="Residuos Sólidos"/>
      <sheetName val="Aguas Residuales"/>
      <sheetName val="Industria"/>
      <sheetName val="Biodigestión"/>
      <sheetName val="Mitigació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row r="92">
          <cell r="A92" t="str">
            <v>Equipos R123</v>
          </cell>
          <cell r="B92">
            <v>1</v>
          </cell>
        </row>
        <row r="93">
          <cell r="A93" t="str">
            <v>Equipos R134a</v>
          </cell>
          <cell r="B93">
            <v>6</v>
          </cell>
        </row>
        <row r="94">
          <cell r="A94" t="str">
            <v>Equipos R22</v>
          </cell>
          <cell r="B94">
            <v>5</v>
          </cell>
        </row>
        <row r="95">
          <cell r="A95" t="str">
            <v>Equipos R404a</v>
          </cell>
          <cell r="B95">
            <v>2</v>
          </cell>
        </row>
        <row r="96">
          <cell r="A96" t="str">
            <v>Equipos R407</v>
          </cell>
          <cell r="B96">
            <v>1</v>
          </cell>
        </row>
        <row r="97">
          <cell r="A97" t="str">
            <v>Equipos R410a</v>
          </cell>
          <cell r="B97">
            <v>11</v>
          </cell>
        </row>
        <row r="98">
          <cell r="A98" t="str">
            <v>Equipos R502</v>
          </cell>
          <cell r="B98">
            <v>1</v>
          </cell>
        </row>
        <row r="99">
          <cell r="A99" t="str">
            <v>Equipos R507</v>
          </cell>
          <cell r="B99">
            <v>2</v>
          </cell>
        </row>
        <row r="100">
          <cell r="A100" t="str">
            <v>Equipos R514</v>
          </cell>
          <cell r="B100">
            <v>1</v>
          </cell>
        </row>
        <row r="229">
          <cell r="A229" t="str">
            <v>Refrigeradores</v>
          </cell>
          <cell r="B229">
            <v>36</v>
          </cell>
        </row>
        <row r="230">
          <cell r="A230" t="str">
            <v>Enfriadores</v>
          </cell>
          <cell r="B230">
            <v>13</v>
          </cell>
        </row>
        <row r="231">
          <cell r="A231" t="str">
            <v>Congeladores</v>
          </cell>
          <cell r="B231">
            <v>9</v>
          </cell>
        </row>
        <row r="279">
          <cell r="A279" t="str">
            <v>Equipos R134a</v>
          </cell>
          <cell r="B279">
            <v>11</v>
          </cell>
        </row>
        <row r="280">
          <cell r="A280" t="str">
            <v>Equipos R170</v>
          </cell>
          <cell r="B280">
            <v>1</v>
          </cell>
        </row>
        <row r="281">
          <cell r="A281" t="str">
            <v>Equipos R23</v>
          </cell>
          <cell r="B281">
            <v>1</v>
          </cell>
        </row>
        <row r="282">
          <cell r="A282" t="str">
            <v>Equipos R290</v>
          </cell>
          <cell r="B282">
            <v>1</v>
          </cell>
        </row>
        <row r="283">
          <cell r="A283" t="str">
            <v>Equipos R404a</v>
          </cell>
          <cell r="B283">
            <v>1</v>
          </cell>
        </row>
        <row r="284">
          <cell r="A284" t="str">
            <v>Equipos R410</v>
          </cell>
          <cell r="B284">
            <v>1</v>
          </cell>
        </row>
        <row r="285">
          <cell r="A285" t="str">
            <v>Equipos R507</v>
          </cell>
          <cell r="B285">
            <v>3</v>
          </cell>
        </row>
        <row r="286">
          <cell r="A286" t="str">
            <v>Equipos R600a</v>
          </cell>
          <cell r="B286">
            <v>3</v>
          </cell>
        </row>
      </sheetData>
      <sheetData sheetId="10" refreshError="1"/>
      <sheetData sheetId="11" refreshError="1"/>
      <sheetData sheetId="12" refreshError="1"/>
      <sheetData sheetId="13" refreshError="1"/>
      <sheetData sheetId="14">
        <row r="60">
          <cell r="B60" t="str">
            <v>Industrias dispuestos</v>
          </cell>
        </row>
      </sheetData>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spuestas"/>
      <sheetName val="Info General"/>
      <sheetName val="Ganadería"/>
      <sheetName val="Agricultura"/>
      <sheetName val="Energía Estacionaria"/>
      <sheetName val="Equipo Estacionario"/>
      <sheetName val="Equipo Móvil"/>
      <sheetName val="Vehículos de trabajo"/>
      <sheetName val="Vehículos de pasajeros"/>
      <sheetName val="Movilidad"/>
      <sheetName val="Refrigerantes"/>
      <sheetName val="Residuos Sólidos"/>
      <sheetName val="Aguas Residuales"/>
      <sheetName val="Biodigestión"/>
      <sheetName val="Mitigación"/>
    </sheetNames>
    <sheetDataSet>
      <sheetData sheetId="0" refreshError="1"/>
      <sheetData sheetId="1" refreshError="1"/>
      <sheetData sheetId="2">
        <row r="29">
          <cell r="A29" t="str">
            <v>Total de Doble propósito</v>
          </cell>
          <cell r="B29">
            <v>11</v>
          </cell>
        </row>
        <row r="31">
          <cell r="A31" t="str">
            <v>Total de carne</v>
          </cell>
          <cell r="B31">
            <v>103</v>
          </cell>
        </row>
        <row r="33">
          <cell r="A33" t="str">
            <v>Total de hembras</v>
          </cell>
          <cell r="B33">
            <v>112</v>
          </cell>
        </row>
        <row r="34">
          <cell r="A34" t="str">
            <v>Total de Machos</v>
          </cell>
          <cell r="B34">
            <v>2</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spuestas"/>
      <sheetName val="Info General"/>
      <sheetName val="Ganadería"/>
      <sheetName val="Agricultura"/>
      <sheetName val="Energía Estacionaria"/>
      <sheetName val="Equipo Estacionario"/>
      <sheetName val="Equipo Móvil"/>
      <sheetName val="Vehículos de trabajo"/>
      <sheetName val="Vehículos de pasajeros"/>
      <sheetName val="Movilidad"/>
      <sheetName val="Refrigerantes"/>
      <sheetName val="Residuos Sólidos"/>
      <sheetName val="Aguas Residuales"/>
      <sheetName val="Biodigestión"/>
      <sheetName val="Mitigación"/>
    </sheetNames>
    <sheetDataSet>
      <sheetData sheetId="0" refreshError="1"/>
      <sheetData sheetId="1" refreshError="1"/>
      <sheetData sheetId="2">
        <row r="29">
          <cell r="A29" t="str">
            <v>Total de Doble propósito</v>
          </cell>
          <cell r="B29">
            <v>11</v>
          </cell>
        </row>
        <row r="30">
          <cell r="A30" t="str">
            <v>Total de Leche</v>
          </cell>
          <cell r="B30">
            <v>0</v>
          </cell>
        </row>
        <row r="31">
          <cell r="A31" t="str">
            <v>Total de carne</v>
          </cell>
          <cell r="B31">
            <v>103</v>
          </cell>
        </row>
        <row r="33">
          <cell r="A33" t="str">
            <v>Total de hembras</v>
          </cell>
          <cell r="B33">
            <v>112</v>
          </cell>
        </row>
        <row r="34">
          <cell r="A34" t="str">
            <v>Total de Machos</v>
          </cell>
          <cell r="B34">
            <v>2</v>
          </cell>
        </row>
        <row r="35">
          <cell r="A35" t="str">
            <v>Total de Terneros</v>
          </cell>
          <cell r="B35">
            <v>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anadería"/>
    </sheetNames>
    <sheetDataSet>
      <sheetData sheetId="0"/>
    </sheetDataSet>
  </externalBook>
</externalLink>
</file>

<file path=xl/theme/theme1.xml><?xml version="1.0" encoding="utf-8"?>
<a:theme xmlns:a="http://schemas.openxmlformats.org/drawingml/2006/main" name="Office Theme 2013 - 2022">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8.xml"/><Relationship Id="rId1" Type="http://schemas.openxmlformats.org/officeDocument/2006/relationships/printerSettings" Target="../printerSettings/printerSettings7.bin"/><Relationship Id="rId4" Type="http://schemas.openxmlformats.org/officeDocument/2006/relationships/comments" Target="../comments5.xml"/></Relationships>
</file>

<file path=xl/worksheets/_rels/sheet11.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12.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comments" Target="../comments9.xml"/><Relationship Id="rId2" Type="http://schemas.openxmlformats.org/officeDocument/2006/relationships/vmlDrawing" Target="../drawings/vmlDrawing9.vml"/><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2.xml"/><Relationship Id="rId1" Type="http://schemas.openxmlformats.org/officeDocument/2006/relationships/printerSettings" Target="../printerSettings/printerSettings8.bin"/><Relationship Id="rId4" Type="http://schemas.openxmlformats.org/officeDocument/2006/relationships/comments" Target="../comments10.xml"/></Relationships>
</file>

<file path=xl/worksheets/_rels/sheet2.xml.rels><?xml version="1.0" encoding="UTF-8" standalone="yes"?>
<Relationships xmlns="http://schemas.openxmlformats.org/package/2006/relationships"><Relationship Id="rId3" Type="http://schemas.openxmlformats.org/officeDocument/2006/relationships/hyperlink" Target="mailto:saneamiento@belen.go.cr" TargetMode="External"/><Relationship Id="rId2" Type="http://schemas.openxmlformats.org/officeDocument/2006/relationships/hyperlink" Target="mailto:ambietnal@belen.go.cr" TargetMode="External"/><Relationship Id="rId1" Type="http://schemas.openxmlformats.org/officeDocument/2006/relationships/hyperlink" Target="mailto:gustavo.soto@biomatec.net" TargetMode="External"/><Relationship Id="rId5" Type="http://schemas.openxmlformats.org/officeDocument/2006/relationships/drawing" Target="../drawings/drawing2.xml"/><Relationship Id="rId4"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hyperlink" Target="mailto:Belen@bomberos.go.cr" TargetMode="External"/><Relationship Id="rId13" Type="http://schemas.openxmlformats.org/officeDocument/2006/relationships/hyperlink" Target="https://www.dropbox.com/sh/f1lrrgxd4eiboua/AABzjXOl55QOQfls03kgKBJVa?dl=0" TargetMode="External"/><Relationship Id="rId18" Type="http://schemas.openxmlformats.org/officeDocument/2006/relationships/hyperlink" Target="mailto:gbriceno@incofer.go.cr" TargetMode="External"/><Relationship Id="rId26" Type="http://schemas.openxmlformats.org/officeDocument/2006/relationships/comments" Target="../comments1.xml"/><Relationship Id="rId3" Type="http://schemas.openxmlformats.org/officeDocument/2006/relationships/hyperlink" Target="mailto:saneamiento@belen.go.cr" TargetMode="External"/><Relationship Id="rId21" Type="http://schemas.openxmlformats.org/officeDocument/2006/relationships/hyperlink" Target="https://www.dropbox.com/sh/yf9jmli9f7j0t0w/AAAOy2uMxGu22pBeO6HsTmU_a?dl=0" TargetMode="External"/><Relationship Id="rId7" Type="http://schemas.openxmlformats.org/officeDocument/2006/relationships/hyperlink" Target="https://www.dropbox.com/sh/ztwj4tlsggjcm60/AAAHCY_QOeRNTIU7cEX3FOAwa?dl=0" TargetMode="External"/><Relationship Id="rId12" Type="http://schemas.openxmlformats.org/officeDocument/2006/relationships/hyperlink" Target="mailto:diego.hidalgo@misalud.go.cr" TargetMode="External"/><Relationship Id="rId17" Type="http://schemas.openxmlformats.org/officeDocument/2006/relationships/hyperlink" Target="https://www.dropbox.com/sh/qx3pvedsl42npor/AAANTjKlmM_6JJNndlZyyojQa?dl=0" TargetMode="External"/><Relationship Id="rId25" Type="http://schemas.openxmlformats.org/officeDocument/2006/relationships/vmlDrawing" Target="../drawings/vmlDrawing1.vml"/><Relationship Id="rId2" Type="http://schemas.openxmlformats.org/officeDocument/2006/relationships/hyperlink" Target="http://www.linkelectricidad.com/" TargetMode="External"/><Relationship Id="rId16" Type="http://schemas.openxmlformats.org/officeDocument/2006/relationships/hyperlink" Target="mailto:ventas@solirsa.com" TargetMode="External"/><Relationship Id="rId20" Type="http://schemas.openxmlformats.org/officeDocument/2006/relationships/hyperlink" Target="mailto:adriana.espinoza.l@senasa.go.cr" TargetMode="External"/><Relationship Id="rId1" Type="http://schemas.openxmlformats.org/officeDocument/2006/relationships/hyperlink" Target="mailto:pgonzalez@ice.go.cr" TargetMode="External"/><Relationship Id="rId6" Type="http://schemas.openxmlformats.org/officeDocument/2006/relationships/hyperlink" Target="https://www.dropbox.com/sh/9bg5kt1cuafdkxm/AABIGXrSuXFyBM9qehpvUoPva?dl=0" TargetMode="External"/><Relationship Id="rId11" Type="http://schemas.openxmlformats.org/officeDocument/2006/relationships/hyperlink" Target="https://www.dropbox.com/sh/wjfkj0sinffcx6k/AAB-mJDh4P6I8ItYZotdT2gKa?dl=0" TargetMode="External"/><Relationship Id="rId24" Type="http://schemas.openxmlformats.org/officeDocument/2006/relationships/hyperlink" Target="https://www.dropbox.com/s/wngn96wdn4pw2s7/P%C3%A9rdidas%20por%20distribuci%C3%B3n%20de%20energ%C3%ADa%20ICE.jpg?dl=0" TargetMode="External"/><Relationship Id="rId5" Type="http://schemas.openxmlformats.org/officeDocument/2006/relationships/hyperlink" Target="mailto:JuanJose.Castrillo@recope.go.cr" TargetMode="External"/><Relationship Id="rId15" Type="http://schemas.openxmlformats.org/officeDocument/2006/relationships/hyperlink" Target="https://www.dropbox.com/sh/6qrlyo7o448qrkd/AACqYHitFW2tkb0XlLS5un-Ga?dl=0" TargetMode="External"/><Relationship Id="rId23" Type="http://schemas.openxmlformats.org/officeDocument/2006/relationships/hyperlink" Target="mailto:jarayape@ice.go.cr" TargetMode="External"/><Relationship Id="rId10" Type="http://schemas.openxmlformats.org/officeDocument/2006/relationships/hyperlink" Target="mailto:Belen@bomberos.go.cr" TargetMode="External"/><Relationship Id="rId19" Type="http://schemas.openxmlformats.org/officeDocument/2006/relationships/hyperlink" Target="https://www.dropbox.com/sh/nrli07f96kra0kf/AACP1t0BM5P-aqx8XqeqQYfia?dl=0" TargetMode="External"/><Relationship Id="rId4" Type="http://schemas.openxmlformats.org/officeDocument/2006/relationships/hyperlink" Target="https://www.dropbox.com/s/ot2why76ecqrx0h/Recolecci%C3%B3n%20ordinaria%202015-2022.xlsx?dl=0" TargetMode="External"/><Relationship Id="rId9" Type="http://schemas.openxmlformats.org/officeDocument/2006/relationships/hyperlink" Target="https://www.dropbox.com/sh/wjfkj0sinffcx6k/AAB-mJDh4P6I8ItYZotdT2gKa?dl=0" TargetMode="External"/><Relationship Id="rId14" Type="http://schemas.openxmlformats.org/officeDocument/2006/relationships/hyperlink" Target="mailto:j.naranjo@recresco.com" TargetMode="External"/><Relationship Id="rId22" Type="http://schemas.openxmlformats.org/officeDocument/2006/relationships/hyperlink" Target="https://www.dropbox.com/s/kn63cyvo09n3liw/Calderas%20de%20Bel%C3%A9n_con%20c%C3%B3digo.xlsx?dl=0"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pubs.acs.org/doi/pdf/10.1021/acs.est.5b00575" TargetMode="External"/><Relationship Id="rId1" Type="http://schemas.openxmlformats.org/officeDocument/2006/relationships/hyperlink" Target="https://www.opteon.com/es/-/media/files/opteon/opteon-xp30-product-information.pdf?la=es&amp;rev=dbb567acf6554988840dff8d3c725d97" TargetMode="External"/><Relationship Id="rId5" Type="http://schemas.openxmlformats.org/officeDocument/2006/relationships/comments" Target="../comments2.xml"/><Relationship Id="rId4" Type="http://schemas.openxmlformats.org/officeDocument/2006/relationships/vmlDrawing" Target="../drawings/vmlDrawing2.vml"/></Relationships>
</file>

<file path=xl/worksheets/_rels/sheet5.xml.rels><?xml version="1.0" encoding="UTF-8" standalone="yes"?>
<Relationships xmlns="http://schemas.openxmlformats.org/package/2006/relationships"><Relationship Id="rId3" Type="http://schemas.openxmlformats.org/officeDocument/2006/relationships/hyperlink" Target="https://www.grupoice.com/wps/wcm/connect/8823524c-7cc7-4cef-abde-a1f06e14da0e/matriz_folleto_web2.pdf?MOD=AJPERES&amp;CVID=l8SK4gG" TargetMode="External"/><Relationship Id="rId2" Type="http://schemas.openxmlformats.org/officeDocument/2006/relationships/hyperlink" Target="https://www.grupoice.com/wps/wcm/connect/8823524c-7cc7-4cef-abde-a1f06e14da0e/matriz_folleto_web2.pdf?MOD=AJPERES&amp;CVID=l8SK4gG" TargetMode="External"/><Relationship Id="rId1" Type="http://schemas.openxmlformats.org/officeDocument/2006/relationships/hyperlink" Target="https://www.grupoice.com/wps/wcm/connect/8823524c-7cc7-4cef-abde-a1f06e14da0e/matriz_folleto_web2.pdf?MOD=AJPERES&amp;CVID=l8SK4gG" TargetMode="External"/><Relationship Id="rId5" Type="http://schemas.openxmlformats.org/officeDocument/2006/relationships/drawing" Target="../drawings/drawing3.xml"/><Relationship Id="rId4"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8" Type="http://schemas.openxmlformats.org/officeDocument/2006/relationships/hyperlink" Target="https://www.dropbox.com/sh/mcg3dbvsdfybuub/AAArU2CnQWodMvGPjXUqLTaaa?dl=0" TargetMode="External"/><Relationship Id="rId3" Type="http://schemas.openxmlformats.org/officeDocument/2006/relationships/hyperlink" Target="http://www.pgrweb.go.cr/scij/Busqueda/Normativa/Normas/nrm_texto_completo.aspx?param1=NRTC&amp;nValor1=1&amp;nValor2=22575&amp;nValor3=85136&amp;strTipM=TC" TargetMode="External"/><Relationship Id="rId7" Type="http://schemas.openxmlformats.org/officeDocument/2006/relationships/hyperlink" Target="https://www.dgac.go.cr/aeropuertos-de-costa-rica/mapa-de-aerodromos/" TargetMode="External"/><Relationship Id="rId2" Type="http://schemas.openxmlformats.org/officeDocument/2006/relationships/hyperlink" Target="http://www.pgrweb.go.cr/scij/Busqueda/Normativa/Normas/nrm_texto_completo.aspx?param1=NRTC&amp;nValor1=1&amp;nValor2=22575&amp;nValor3=85136&amp;strTipM=TC" TargetMode="External"/><Relationship Id="rId1" Type="http://schemas.openxmlformats.org/officeDocument/2006/relationships/hyperlink" Target="https://www.dropbox.com/sh/nrli07f96kra0kf/AACP1t0BM5P-aqx8XqeqQYfia?dl=0" TargetMode="External"/><Relationship Id="rId6" Type="http://schemas.openxmlformats.org/officeDocument/2006/relationships/hyperlink" Target="https://www.dgac.go.cr/aeropuertos-de-costa-rica/mapa-de-aerodromos/" TargetMode="External"/><Relationship Id="rId11" Type="http://schemas.openxmlformats.org/officeDocument/2006/relationships/drawing" Target="../drawings/drawing4.xml"/><Relationship Id="rId5" Type="http://schemas.openxmlformats.org/officeDocument/2006/relationships/hyperlink" Target="https://www.dgac.go.cr/aeropuertos-de-costa-rica/mapa-de-aerodromos/" TargetMode="External"/><Relationship Id="rId10" Type="http://schemas.openxmlformats.org/officeDocument/2006/relationships/printerSettings" Target="../printerSettings/printerSettings5.bin"/><Relationship Id="rId4" Type="http://schemas.openxmlformats.org/officeDocument/2006/relationships/hyperlink" Target="http://www.pgrweb.go.cr/scij/Busqueda/Normativa/Normas/nrm_texto_completo.aspx?param1=NRTC&amp;nValor1=1&amp;nValor2=22575&amp;nValor3=85136&amp;strTipM=TC" TargetMode="External"/><Relationship Id="rId9" Type="http://schemas.openxmlformats.org/officeDocument/2006/relationships/hyperlink" Target="https://www.dropbox.com/sh/mcg3dbvsdfybuub/AAArU2CnQWodMvGPjXUqLTaaa?dl=0" TargetMode="Externa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hyperlink" Target="https://www.dropbox.com/sh/mcg3dbvsdfybuub/AAArU2CnQWodMvGPjXUqLTaaa?dl=0" TargetMode="External"/><Relationship Id="rId1" Type="http://schemas.openxmlformats.org/officeDocument/2006/relationships/hyperlink" Target="https://www.dropbox.com/sh/mcg3dbvsdfybuub/AAArU2CnQWodMvGPjXUqLTaaa?dl=0" TargetMode="External"/><Relationship Id="rId5" Type="http://schemas.openxmlformats.org/officeDocument/2006/relationships/comments" Target="../comments3.xml"/><Relationship Id="rId4"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6.xml"/><Relationship Id="rId1" Type="http://schemas.openxmlformats.org/officeDocument/2006/relationships/printerSettings" Target="../printerSettings/printerSettings6.bin"/><Relationship Id="rId4" Type="http://schemas.openxmlformats.org/officeDocument/2006/relationships/comments" Target="../comments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sheetPr>
  <dimension ref="B1:R39"/>
  <sheetViews>
    <sheetView showGridLines="0" zoomScale="85" zoomScaleNormal="85" workbookViewId="0">
      <selection activeCell="R21" sqref="R21"/>
    </sheetView>
  </sheetViews>
  <sheetFormatPr defaultColWidth="11.42578125" defaultRowHeight="15.75"/>
  <cols>
    <col min="1" max="4" width="11.42578125" style="1"/>
    <col min="5" max="5" width="13.140625" style="1" customWidth="1"/>
    <col min="6" max="7" width="11.42578125" style="1"/>
    <col min="8" max="8" width="5.5703125" style="1" customWidth="1"/>
    <col min="9" max="10" width="11.42578125" style="1"/>
    <col min="11" max="11" width="17.7109375" style="1" customWidth="1"/>
    <col min="12" max="12" width="13.85546875" style="1" customWidth="1"/>
    <col min="13" max="14" width="11.42578125" style="1"/>
    <col min="15" max="15" width="3.42578125" style="1" customWidth="1"/>
    <col min="16" max="16384" width="11.42578125" style="1"/>
  </cols>
  <sheetData>
    <row r="1" spans="2:18" ht="16.5" thickBot="1"/>
    <row r="2" spans="2:18" ht="19.5" thickBot="1">
      <c r="B2" s="214" t="s">
        <v>0</v>
      </c>
      <c r="C2" s="214"/>
      <c r="D2" s="214"/>
      <c r="E2" s="214"/>
      <c r="F2" s="214"/>
      <c r="G2" s="214"/>
      <c r="H2" s="214"/>
      <c r="I2" s="214"/>
      <c r="J2" s="214"/>
      <c r="K2" s="214"/>
      <c r="L2" s="214"/>
      <c r="M2" s="214"/>
      <c r="N2" s="214"/>
      <c r="O2" s="2"/>
    </row>
    <row r="3" spans="2:18" ht="19.5" thickBot="1">
      <c r="B3" s="4"/>
      <c r="C3" s="4"/>
      <c r="D3" s="4"/>
      <c r="E3" s="4"/>
      <c r="F3" s="4"/>
      <c r="G3" s="4"/>
      <c r="H3" s="4"/>
      <c r="I3" s="4"/>
      <c r="J3" s="4"/>
      <c r="K3" s="4"/>
      <c r="L3" s="4"/>
      <c r="M3" s="4"/>
      <c r="N3" s="4"/>
    </row>
    <row r="4" spans="2:18" ht="19.5" thickBot="1">
      <c r="B4" s="228" t="s">
        <v>1</v>
      </c>
      <c r="C4" s="228"/>
      <c r="D4" s="228"/>
      <c r="E4" s="228"/>
      <c r="F4" s="232" t="s">
        <v>2</v>
      </c>
      <c r="G4" s="232"/>
      <c r="H4" s="232"/>
      <c r="I4" s="232"/>
      <c r="J4" s="232"/>
      <c r="K4" s="236" t="s">
        <v>3</v>
      </c>
      <c r="L4" s="236"/>
      <c r="M4" s="231">
        <v>2021</v>
      </c>
      <c r="N4" s="231"/>
      <c r="O4" s="2"/>
      <c r="P4" s="217"/>
      <c r="Q4" s="218"/>
      <c r="R4" s="219"/>
    </row>
    <row r="5" spans="2:18" ht="19.5" thickBot="1">
      <c r="B5" s="228" t="s">
        <v>4</v>
      </c>
      <c r="C5" s="228"/>
      <c r="D5" s="228"/>
      <c r="E5" s="228"/>
      <c r="F5" s="232" t="s">
        <v>5</v>
      </c>
      <c r="G5" s="232"/>
      <c r="H5" s="232"/>
      <c r="I5" s="232"/>
      <c r="J5" s="232"/>
      <c r="K5" s="236"/>
      <c r="L5" s="236"/>
      <c r="M5" s="231"/>
      <c r="N5" s="231"/>
      <c r="O5" s="2"/>
      <c r="P5" s="220"/>
      <c r="Q5" s="221"/>
      <c r="R5" s="222"/>
    </row>
    <row r="6" spans="2:18" ht="19.5" thickBot="1">
      <c r="B6" s="228" t="s">
        <v>6</v>
      </c>
      <c r="C6" s="228"/>
      <c r="D6" s="228"/>
      <c r="E6" s="228"/>
      <c r="F6" s="233">
        <v>44260</v>
      </c>
      <c r="G6" s="232"/>
      <c r="H6" s="232"/>
      <c r="I6" s="232"/>
      <c r="J6" s="232"/>
      <c r="K6" s="236" t="s">
        <v>7</v>
      </c>
      <c r="L6" s="236"/>
      <c r="M6" s="234">
        <v>1</v>
      </c>
      <c r="N6" s="235"/>
      <c r="O6" s="2"/>
      <c r="P6" s="220"/>
      <c r="Q6" s="221"/>
      <c r="R6" s="222"/>
    </row>
    <row r="7" spans="2:18" ht="19.5" thickBot="1">
      <c r="B7" s="4"/>
      <c r="C7" s="4"/>
      <c r="D7" s="4"/>
      <c r="E7" s="4"/>
      <c r="F7" s="4"/>
      <c r="G7" s="4"/>
      <c r="H7" s="4"/>
      <c r="I7" s="4"/>
      <c r="J7" s="4"/>
      <c r="K7" s="4"/>
      <c r="L7" s="4"/>
      <c r="M7" s="4"/>
      <c r="N7" s="4"/>
      <c r="P7" s="220"/>
      <c r="Q7" s="221"/>
      <c r="R7" s="222"/>
    </row>
    <row r="8" spans="2:18" ht="19.5" thickBot="1">
      <c r="B8" s="227" t="s">
        <v>8</v>
      </c>
      <c r="C8" s="227"/>
      <c r="D8" s="227"/>
      <c r="E8" s="227"/>
      <c r="F8" s="227"/>
      <c r="G8" s="227"/>
      <c r="H8" s="4"/>
      <c r="I8" s="227" t="s">
        <v>9</v>
      </c>
      <c r="J8" s="227"/>
      <c r="K8" s="227"/>
      <c r="L8" s="227"/>
      <c r="M8" s="227"/>
      <c r="N8" s="227"/>
      <c r="P8" s="220"/>
      <c r="Q8" s="221"/>
      <c r="R8" s="222"/>
    </row>
    <row r="9" spans="2:18" ht="19.5" thickBot="1">
      <c r="B9" s="237" t="s">
        <v>10</v>
      </c>
      <c r="C9" s="237"/>
      <c r="D9" s="237"/>
      <c r="E9" s="237"/>
      <c r="F9" s="237"/>
      <c r="G9" s="237"/>
      <c r="H9" s="4"/>
      <c r="I9" s="230" t="s">
        <v>11</v>
      </c>
      <c r="J9" s="230"/>
      <c r="K9" s="230"/>
      <c r="L9" s="230"/>
      <c r="M9" s="230"/>
      <c r="N9" s="230"/>
      <c r="O9" s="3"/>
      <c r="P9" s="220"/>
      <c r="Q9" s="221"/>
      <c r="R9" s="222"/>
    </row>
    <row r="10" spans="2:18" ht="19.5" thickBot="1">
      <c r="B10" s="237" t="s">
        <v>12</v>
      </c>
      <c r="C10" s="237"/>
      <c r="D10" s="237"/>
      <c r="E10" s="237"/>
      <c r="F10" s="237"/>
      <c r="G10" s="237"/>
      <c r="H10" s="4"/>
      <c r="I10" s="230" t="s">
        <v>13</v>
      </c>
      <c r="J10" s="230"/>
      <c r="K10" s="230"/>
      <c r="L10" s="230"/>
      <c r="M10" s="230"/>
      <c r="N10" s="230"/>
      <c r="O10" s="3"/>
      <c r="P10" s="220"/>
      <c r="Q10" s="221"/>
      <c r="R10" s="222"/>
    </row>
    <row r="11" spans="2:18" ht="19.5" thickBot="1">
      <c r="B11" s="237" t="s">
        <v>14</v>
      </c>
      <c r="C11" s="237"/>
      <c r="D11" s="237"/>
      <c r="E11" s="237"/>
      <c r="F11" s="237"/>
      <c r="G11" s="237"/>
      <c r="H11" s="4"/>
      <c r="I11" s="230" t="s">
        <v>15</v>
      </c>
      <c r="J11" s="230"/>
      <c r="K11" s="230"/>
      <c r="L11" s="230"/>
      <c r="M11" s="230"/>
      <c r="N11" s="230"/>
      <c r="O11" s="3"/>
      <c r="P11" s="220"/>
      <c r="Q11" s="221"/>
      <c r="R11" s="222"/>
    </row>
    <row r="12" spans="2:18" ht="19.5" thickBot="1">
      <c r="B12" s="226"/>
      <c r="C12" s="226"/>
      <c r="D12" s="226"/>
      <c r="E12" s="226"/>
      <c r="F12" s="226"/>
      <c r="G12" s="226"/>
      <c r="H12" s="4"/>
      <c r="I12" s="230" t="s">
        <v>16</v>
      </c>
      <c r="J12" s="230"/>
      <c r="K12" s="230"/>
      <c r="L12" s="230"/>
      <c r="M12" s="230"/>
      <c r="N12" s="230"/>
      <c r="O12" s="3"/>
      <c r="P12" s="220"/>
      <c r="Q12" s="221"/>
      <c r="R12" s="222"/>
    </row>
    <row r="13" spans="2:18" ht="19.5" thickBot="1">
      <c r="B13" s="4"/>
      <c r="C13" s="4"/>
      <c r="D13" s="4"/>
      <c r="E13" s="4"/>
      <c r="F13" s="4"/>
      <c r="G13" s="4"/>
      <c r="H13" s="4"/>
      <c r="I13" s="230" t="s">
        <v>17</v>
      </c>
      <c r="J13" s="230"/>
      <c r="K13" s="230"/>
      <c r="L13" s="230"/>
      <c r="M13" s="230"/>
      <c r="N13" s="230"/>
      <c r="O13" s="3"/>
      <c r="P13" s="223"/>
      <c r="Q13" s="224"/>
      <c r="R13" s="225"/>
    </row>
    <row r="14" spans="2:18" ht="19.5" thickBot="1">
      <c r="B14" s="228" t="s">
        <v>18</v>
      </c>
      <c r="C14" s="228"/>
      <c r="D14" s="228"/>
      <c r="E14" s="228"/>
      <c r="F14" s="228"/>
      <c r="G14" s="228"/>
      <c r="H14" s="4"/>
      <c r="I14" s="226"/>
      <c r="J14" s="226"/>
      <c r="K14" s="226"/>
      <c r="L14" s="226"/>
      <c r="M14" s="226"/>
      <c r="N14" s="226"/>
      <c r="O14" s="2"/>
    </row>
    <row r="15" spans="2:18" ht="19.5" thickBot="1">
      <c r="B15" s="229" t="s">
        <v>19</v>
      </c>
      <c r="C15" s="229"/>
      <c r="D15" s="229"/>
      <c r="E15" s="229"/>
      <c r="F15" s="229"/>
      <c r="G15" s="229"/>
      <c r="H15" s="4"/>
      <c r="I15" s="226"/>
      <c r="J15" s="226"/>
      <c r="K15" s="226"/>
      <c r="L15" s="226"/>
      <c r="M15" s="226"/>
      <c r="N15" s="226"/>
      <c r="O15" s="2"/>
    </row>
    <row r="16" spans="2:18" ht="16.5" thickBot="1"/>
    <row r="17" spans="2:14" ht="16.5" thickBot="1">
      <c r="B17" s="215" t="s">
        <v>20</v>
      </c>
      <c r="C17" s="215"/>
      <c r="D17" s="215"/>
      <c r="E17" s="215"/>
      <c r="F17" s="215"/>
      <c r="G17" s="215"/>
      <c r="H17" s="215"/>
      <c r="I17" s="215"/>
      <c r="J17" s="215"/>
      <c r="K17" s="215"/>
      <c r="L17" s="215"/>
      <c r="M17" s="215"/>
      <c r="N17" s="215"/>
    </row>
    <row r="18" spans="2:14" ht="16.5" thickBot="1">
      <c r="B18" s="215"/>
      <c r="C18" s="215"/>
      <c r="D18" s="215"/>
      <c r="E18" s="215"/>
      <c r="F18" s="215"/>
      <c r="G18" s="215"/>
      <c r="H18" s="215"/>
      <c r="I18" s="215"/>
      <c r="J18" s="215"/>
      <c r="K18" s="215"/>
      <c r="L18" s="215"/>
      <c r="M18" s="215"/>
      <c r="N18" s="215"/>
    </row>
    <row r="19" spans="2:14" ht="16.5" thickBot="1">
      <c r="B19" s="215"/>
      <c r="C19" s="215"/>
      <c r="D19" s="215"/>
      <c r="E19" s="215"/>
      <c r="F19" s="215"/>
      <c r="G19" s="215"/>
      <c r="H19" s="215"/>
      <c r="I19" s="215"/>
      <c r="J19" s="215"/>
      <c r="K19" s="215"/>
      <c r="L19" s="215"/>
      <c r="M19" s="215"/>
      <c r="N19" s="215"/>
    </row>
    <row r="20" spans="2:14" ht="16.5" thickBot="1">
      <c r="B20" s="215"/>
      <c r="C20" s="215"/>
      <c r="D20" s="215"/>
      <c r="E20" s="215"/>
      <c r="F20" s="215"/>
      <c r="G20" s="215"/>
      <c r="H20" s="215"/>
      <c r="I20" s="215"/>
      <c r="J20" s="215"/>
      <c r="K20" s="215"/>
      <c r="L20" s="215"/>
      <c r="M20" s="215"/>
      <c r="N20" s="215"/>
    </row>
    <row r="21" spans="2:14" ht="16.5" thickBot="1">
      <c r="B21" s="215"/>
      <c r="C21" s="215"/>
      <c r="D21" s="215"/>
      <c r="E21" s="215"/>
      <c r="F21" s="215"/>
      <c r="G21" s="215"/>
      <c r="H21" s="215"/>
      <c r="I21" s="215"/>
      <c r="J21" s="215"/>
      <c r="K21" s="215"/>
      <c r="L21" s="215"/>
      <c r="M21" s="215"/>
      <c r="N21" s="215"/>
    </row>
    <row r="22" spans="2:14" ht="16.5" thickBot="1">
      <c r="B22" s="215"/>
      <c r="C22" s="215"/>
      <c r="D22" s="215"/>
      <c r="E22" s="215"/>
      <c r="F22" s="215"/>
      <c r="G22" s="215"/>
      <c r="H22" s="215"/>
      <c r="I22" s="215"/>
      <c r="J22" s="215"/>
      <c r="K22" s="215"/>
      <c r="L22" s="215"/>
      <c r="M22" s="215"/>
      <c r="N22" s="215"/>
    </row>
    <row r="23" spans="2:14" ht="16.5" thickBot="1">
      <c r="B23" s="215"/>
      <c r="C23" s="215"/>
      <c r="D23" s="215"/>
      <c r="E23" s="215"/>
      <c r="F23" s="215"/>
      <c r="G23" s="215"/>
      <c r="H23" s="215"/>
      <c r="I23" s="215"/>
      <c r="J23" s="215"/>
      <c r="K23" s="215"/>
      <c r="L23" s="215"/>
      <c r="M23" s="215"/>
      <c r="N23" s="215"/>
    </row>
    <row r="24" spans="2:14" ht="16.5" thickBot="1">
      <c r="B24" s="215"/>
      <c r="C24" s="215"/>
      <c r="D24" s="215"/>
      <c r="E24" s="215"/>
      <c r="F24" s="215"/>
      <c r="G24" s="215"/>
      <c r="H24" s="215"/>
      <c r="I24" s="215"/>
      <c r="J24" s="215"/>
      <c r="K24" s="215"/>
      <c r="L24" s="215"/>
      <c r="M24" s="215"/>
      <c r="N24" s="215"/>
    </row>
    <row r="25" spans="2:14" ht="16.5" thickBot="1">
      <c r="B25" s="215"/>
      <c r="C25" s="215"/>
      <c r="D25" s="215"/>
      <c r="E25" s="215"/>
      <c r="F25" s="215"/>
      <c r="G25" s="215"/>
      <c r="H25" s="215"/>
      <c r="I25" s="215"/>
      <c r="J25" s="215"/>
      <c r="K25" s="215"/>
      <c r="L25" s="215"/>
      <c r="M25" s="215"/>
      <c r="N25" s="215"/>
    </row>
    <row r="26" spans="2:14" ht="16.5" thickBot="1">
      <c r="B26" s="216"/>
      <c r="C26" s="216"/>
      <c r="D26" s="216"/>
      <c r="E26" s="216"/>
      <c r="F26" s="216"/>
      <c r="G26" s="216"/>
      <c r="H26" s="216"/>
      <c r="I26" s="216"/>
      <c r="J26" s="216"/>
      <c r="K26" s="216"/>
      <c r="L26" s="216"/>
      <c r="M26" s="216"/>
      <c r="N26" s="216"/>
    </row>
    <row r="27" spans="2:14" ht="16.5" thickBot="1">
      <c r="B27" s="216"/>
      <c r="C27" s="216"/>
      <c r="D27" s="216"/>
      <c r="E27" s="216"/>
      <c r="F27" s="216"/>
      <c r="G27" s="216"/>
      <c r="H27" s="216"/>
      <c r="I27" s="216"/>
      <c r="J27" s="216"/>
      <c r="K27" s="216"/>
      <c r="L27" s="216"/>
      <c r="M27" s="216"/>
      <c r="N27" s="216"/>
    </row>
    <row r="28" spans="2:14" ht="16.5" thickBot="1">
      <c r="B28" s="216"/>
      <c r="C28" s="216"/>
      <c r="D28" s="216"/>
      <c r="E28" s="216"/>
      <c r="F28" s="216"/>
      <c r="G28" s="216"/>
      <c r="H28" s="216"/>
      <c r="I28" s="216"/>
      <c r="J28" s="216"/>
      <c r="K28" s="216"/>
      <c r="L28" s="216"/>
      <c r="M28" s="216"/>
      <c r="N28" s="216"/>
    </row>
    <row r="29" spans="2:14" ht="16.5" thickBot="1">
      <c r="B29" s="216"/>
      <c r="C29" s="216"/>
      <c r="D29" s="216"/>
      <c r="E29" s="216"/>
      <c r="F29" s="216"/>
      <c r="G29" s="216"/>
      <c r="H29" s="216"/>
      <c r="I29" s="216"/>
      <c r="J29" s="216"/>
      <c r="K29" s="216"/>
      <c r="L29" s="216"/>
      <c r="M29" s="216"/>
      <c r="N29" s="216"/>
    </row>
    <row r="30" spans="2:14" ht="16.5" thickBot="1">
      <c r="B30" s="216"/>
      <c r="C30" s="216"/>
      <c r="D30" s="216"/>
      <c r="E30" s="216"/>
      <c r="F30" s="216"/>
      <c r="G30" s="216"/>
      <c r="H30" s="216"/>
      <c r="I30" s="216"/>
      <c r="J30" s="216"/>
      <c r="K30" s="216"/>
      <c r="L30" s="216"/>
      <c r="M30" s="216"/>
      <c r="N30" s="216"/>
    </row>
    <row r="31" spans="2:14" ht="16.5" thickBot="1">
      <c r="B31" s="216"/>
      <c r="C31" s="216"/>
      <c r="D31" s="216"/>
      <c r="E31" s="216"/>
      <c r="F31" s="216"/>
      <c r="G31" s="216"/>
      <c r="H31" s="216"/>
      <c r="I31" s="216"/>
      <c r="J31" s="216"/>
      <c r="K31" s="216"/>
      <c r="L31" s="216"/>
      <c r="M31" s="216"/>
      <c r="N31" s="216"/>
    </row>
    <row r="32" spans="2:14" ht="16.5" thickBot="1">
      <c r="B32" s="216"/>
      <c r="C32" s="216"/>
      <c r="D32" s="216"/>
      <c r="E32" s="216"/>
      <c r="F32" s="216"/>
      <c r="G32" s="216"/>
      <c r="H32" s="216"/>
      <c r="I32" s="216"/>
      <c r="J32" s="216"/>
      <c r="K32" s="216"/>
      <c r="L32" s="216"/>
      <c r="M32" s="216"/>
      <c r="N32" s="216"/>
    </row>
    <row r="33" spans="2:14" ht="16.5" thickBot="1">
      <c r="B33" s="216"/>
      <c r="C33" s="216"/>
      <c r="D33" s="216"/>
      <c r="E33" s="216"/>
      <c r="F33" s="216"/>
      <c r="G33" s="216"/>
      <c r="H33" s="216"/>
      <c r="I33" s="216"/>
      <c r="J33" s="216"/>
      <c r="K33" s="216"/>
      <c r="L33" s="216"/>
      <c r="M33" s="216"/>
      <c r="N33" s="216"/>
    </row>
    <row r="34" spans="2:14" ht="16.5" thickBot="1">
      <c r="B34" s="216"/>
      <c r="C34" s="216"/>
      <c r="D34" s="216"/>
      <c r="E34" s="216"/>
      <c r="F34" s="216"/>
      <c r="G34" s="216"/>
      <c r="H34" s="216"/>
      <c r="I34" s="216"/>
      <c r="J34" s="216"/>
      <c r="K34" s="216"/>
      <c r="L34" s="216"/>
      <c r="M34" s="216"/>
      <c r="N34" s="216"/>
    </row>
    <row r="35" spans="2:14" ht="16.5" thickBot="1">
      <c r="B35" s="216"/>
      <c r="C35" s="216"/>
      <c r="D35" s="216"/>
      <c r="E35" s="216"/>
      <c r="F35" s="216"/>
      <c r="G35" s="216"/>
      <c r="H35" s="216"/>
      <c r="I35" s="216"/>
      <c r="J35" s="216"/>
      <c r="K35" s="216"/>
      <c r="L35" s="216"/>
      <c r="M35" s="216"/>
      <c r="N35" s="216"/>
    </row>
    <row r="36" spans="2:14" ht="16.5" thickBot="1">
      <c r="B36" s="216"/>
      <c r="C36" s="216"/>
      <c r="D36" s="216"/>
      <c r="E36" s="216"/>
      <c r="F36" s="216"/>
      <c r="G36" s="216"/>
      <c r="H36" s="216"/>
      <c r="I36" s="216"/>
      <c r="J36" s="216"/>
      <c r="K36" s="216"/>
      <c r="L36" s="216"/>
      <c r="M36" s="216"/>
      <c r="N36" s="216"/>
    </row>
    <row r="37" spans="2:14" ht="16.5" thickBot="1">
      <c r="B37" s="216"/>
      <c r="C37" s="216"/>
      <c r="D37" s="216"/>
      <c r="E37" s="216"/>
      <c r="F37" s="216"/>
      <c r="G37" s="216"/>
      <c r="H37" s="216"/>
      <c r="I37" s="216"/>
      <c r="J37" s="216"/>
      <c r="K37" s="216"/>
      <c r="L37" s="216"/>
      <c r="M37" s="216"/>
      <c r="N37" s="216"/>
    </row>
    <row r="38" spans="2:14" ht="16.5" thickBot="1">
      <c r="B38" s="216"/>
      <c r="C38" s="216"/>
      <c r="D38" s="216"/>
      <c r="E38" s="216"/>
      <c r="F38" s="216"/>
      <c r="G38" s="216"/>
      <c r="H38" s="216"/>
      <c r="I38" s="216"/>
      <c r="J38" s="216"/>
      <c r="K38" s="216"/>
      <c r="L38" s="216"/>
      <c r="M38" s="216"/>
      <c r="N38" s="216"/>
    </row>
    <row r="39" spans="2:14" ht="16.5" thickBot="1">
      <c r="B39" s="216"/>
      <c r="C39" s="216"/>
      <c r="D39" s="216"/>
      <c r="E39" s="216"/>
      <c r="F39" s="216"/>
      <c r="G39" s="216"/>
      <c r="H39" s="216"/>
      <c r="I39" s="216"/>
      <c r="J39" s="216"/>
      <c r="K39" s="216"/>
      <c r="L39" s="216"/>
      <c r="M39" s="216"/>
      <c r="N39" s="216"/>
    </row>
  </sheetData>
  <mergeCells count="29">
    <mergeCell ref="M6:N6"/>
    <mergeCell ref="K4:L5"/>
    <mergeCell ref="B9:G9"/>
    <mergeCell ref="B10:G10"/>
    <mergeCell ref="B11:G11"/>
    <mergeCell ref="K6:L6"/>
    <mergeCell ref="B12:G12"/>
    <mergeCell ref="B4:E4"/>
    <mergeCell ref="B5:E5"/>
    <mergeCell ref="F4:J4"/>
    <mergeCell ref="F5:J5"/>
    <mergeCell ref="B6:E6"/>
    <mergeCell ref="F6:J6"/>
    <mergeCell ref="B2:N2"/>
    <mergeCell ref="B17:N25"/>
    <mergeCell ref="B26:N39"/>
    <mergeCell ref="P4:R13"/>
    <mergeCell ref="I15:N15"/>
    <mergeCell ref="B8:G8"/>
    <mergeCell ref="B14:G14"/>
    <mergeCell ref="B15:G15"/>
    <mergeCell ref="I8:N8"/>
    <mergeCell ref="I9:N9"/>
    <mergeCell ref="I10:N10"/>
    <mergeCell ref="I11:N11"/>
    <mergeCell ref="I12:N12"/>
    <mergeCell ref="I13:N13"/>
    <mergeCell ref="I14:N14"/>
    <mergeCell ref="M4:N5"/>
  </mergeCells>
  <hyperlinks>
    <hyperlink ref="B9:G9" location="'1.1. Descripción de la ciudad'!A1" display="1.1. Descripción de la ciudad" xr:uid="{00000000-0004-0000-0000-000000000000}"/>
    <hyperlink ref="B10:G10" location="'1.2. Fuentes de información'!A1" display="1.2. Fuentes de Información" xr:uid="{00000000-0004-0000-0000-000001000000}"/>
    <hyperlink ref="B11:G11" location="'1.3. Factores de emisión'!A1" display="1.3. Factores de emisión" xr:uid="{00000000-0004-0000-0000-000002000000}"/>
    <hyperlink ref="I9:N9" location="'2.1. Energía estacionaria'!A1" display="2.1. Energía estacionaria" xr:uid="{00000000-0004-0000-0000-000003000000}"/>
    <hyperlink ref="I10:N10" location="'2.2. Transporte'!A1" display="2.2. Transporte" xr:uid="{00000000-0004-0000-0000-000004000000}"/>
    <hyperlink ref="I11:N11" location="'2.3. Residuos'!A1" display="2.3. Residuos" xr:uid="{00000000-0004-0000-0000-000005000000}"/>
    <hyperlink ref="I12:N12" location="'2.4. IPPU'!A1" display="2.4.Procesos Industriales y uso de productos" xr:uid="{00000000-0004-0000-0000-000006000000}"/>
    <hyperlink ref="I13:N13" location="'2.5. AFOLU'!A1" display="2.5.Agricultura, silvicultura y otros usos de la tierra" xr:uid="{00000000-0004-0000-0000-000007000000}"/>
    <hyperlink ref="B15:G15" location="'3. Emisiones netas'!A1" display="3. Emisiones netas" xr:uid="{00000000-0004-0000-0000-000008000000}"/>
  </hyperlink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5" tint="0.39997558519241921"/>
  </sheetPr>
  <dimension ref="B1:Q152"/>
  <sheetViews>
    <sheetView showGridLines="0" topLeftCell="A109" zoomScale="85" zoomScaleNormal="85" workbookViewId="0">
      <selection activeCell="N35" sqref="N35"/>
    </sheetView>
  </sheetViews>
  <sheetFormatPr defaultColWidth="11.42578125" defaultRowHeight="15.75"/>
  <cols>
    <col min="1" max="3" width="11.42578125" style="1"/>
    <col min="4" max="4" width="14" style="1" customWidth="1"/>
    <col min="5" max="5" width="13.140625" style="1" bestFit="1" customWidth="1"/>
    <col min="6" max="6" width="15.28515625" style="1" customWidth="1"/>
    <col min="7" max="7" width="11.42578125" style="1"/>
    <col min="8" max="8" width="14.7109375" style="1" customWidth="1"/>
    <col min="9" max="9" width="13.7109375" style="1" customWidth="1"/>
    <col min="10" max="10" width="13" style="1" customWidth="1"/>
    <col min="11" max="11" width="14.42578125" style="1" customWidth="1"/>
    <col min="12" max="12" width="18.85546875" style="1" customWidth="1"/>
    <col min="13" max="13" width="13.85546875" style="1" customWidth="1"/>
    <col min="14" max="16" width="11.42578125" style="1"/>
    <col min="17" max="17" width="18.85546875" style="1" customWidth="1"/>
    <col min="18" max="16384" width="11.42578125" style="1"/>
  </cols>
  <sheetData>
    <row r="1" spans="2:14" ht="18.75">
      <c r="B1" s="354" t="s">
        <v>21</v>
      </c>
      <c r="C1" s="354"/>
    </row>
    <row r="3" spans="2:14" ht="19.5" thickBot="1">
      <c r="B3" s="62" t="s">
        <v>1358</v>
      </c>
      <c r="C3" s="9"/>
      <c r="D3" s="9"/>
      <c r="E3" s="9"/>
      <c r="F3" s="9"/>
      <c r="G3" s="9"/>
      <c r="H3" s="9"/>
      <c r="I3" s="9"/>
      <c r="J3" s="9"/>
      <c r="K3" s="9"/>
    </row>
    <row r="4" spans="2:14" ht="16.5" thickBot="1"/>
    <row r="5" spans="2:14" ht="48" thickBot="1">
      <c r="B5" s="350" t="s">
        <v>141</v>
      </c>
      <c r="C5" s="350"/>
      <c r="D5" s="350"/>
      <c r="E5" s="350"/>
      <c r="F5" s="350"/>
      <c r="G5" s="350"/>
      <c r="H5" s="350"/>
      <c r="I5" s="65" t="s">
        <v>1359</v>
      </c>
      <c r="J5" s="65" t="s">
        <v>1360</v>
      </c>
      <c r="K5" s="65" t="s">
        <v>1361</v>
      </c>
      <c r="L5" s="65" t="s">
        <v>1362</v>
      </c>
    </row>
    <row r="6" spans="2:14" ht="16.5" thickBot="1">
      <c r="B6" s="216" t="s">
        <v>1363</v>
      </c>
      <c r="C6" s="216"/>
      <c r="D6" s="216"/>
      <c r="E6" s="216"/>
      <c r="F6" s="216"/>
      <c r="G6" s="216"/>
      <c r="H6" s="216"/>
      <c r="I6" s="100">
        <f>'2.1. Energía estacionaria'!Q16</f>
        <v>1031.7355714085106</v>
      </c>
      <c r="J6" s="101">
        <f>'2.1. Energía estacionaria'!Q22</f>
        <v>1228.1430825689931</v>
      </c>
      <c r="K6" s="102">
        <f>'2.1. Energía estacionaria'!Q28</f>
        <v>122.44102032416269</v>
      </c>
      <c r="L6" s="106">
        <f>IF((SUM(I6:K6))=0,0,(SUM(I6:K6)/$I$34)*100)</f>
        <v>0.59864471008418141</v>
      </c>
      <c r="M6" s="187"/>
    </row>
    <row r="7" spans="2:14" ht="16.5" thickBot="1">
      <c r="B7" s="216" t="s">
        <v>1364</v>
      </c>
      <c r="C7" s="216"/>
      <c r="D7" s="216"/>
      <c r="E7" s="216"/>
      <c r="F7" s="216"/>
      <c r="G7" s="216"/>
      <c r="H7" s="216"/>
      <c r="I7" s="100">
        <f>'2.1. Energía estacionaria'!Q40</f>
        <v>2167.9197256259777</v>
      </c>
      <c r="J7" s="101">
        <f>'2.1. Energía estacionaria'!Q46</f>
        <v>2647.1468000000004</v>
      </c>
      <c r="K7" s="102">
        <f>'2.1. Energía estacionaria'!Q52</f>
        <v>263.3911066</v>
      </c>
      <c r="L7" s="106">
        <f t="shared" ref="L7:L31" si="0">IF((SUM(I7:K7))=0,0,(SUM(I7:K7)/$I$34)*100)</f>
        <v>1.2761477100296774</v>
      </c>
      <c r="M7" s="187"/>
    </row>
    <row r="8" spans="2:14" ht="16.5" thickBot="1">
      <c r="B8" s="216" t="s">
        <v>1365</v>
      </c>
      <c r="C8" s="216"/>
      <c r="D8" s="216"/>
      <c r="E8" s="216"/>
      <c r="F8" s="216"/>
      <c r="G8" s="216"/>
      <c r="H8" s="216"/>
      <c r="I8" s="101">
        <f>'2.1. Energía estacionaria'!Q68</f>
        <v>102830.88602650662</v>
      </c>
      <c r="J8" s="101">
        <f>'2.1. Energía estacionaria'!Q75</f>
        <v>9773.9948000000004</v>
      </c>
      <c r="K8" s="102">
        <f>'2.1. Energía estacionaria'!Q82</f>
        <v>895.06438132000005</v>
      </c>
      <c r="L8" s="106">
        <f t="shared" si="0"/>
        <v>28.521000991786295</v>
      </c>
      <c r="M8" s="187"/>
    </row>
    <row r="9" spans="2:14" ht="16.5" thickBot="1">
      <c r="B9" s="216" t="s">
        <v>1366</v>
      </c>
      <c r="C9" s="216"/>
      <c r="D9" s="216"/>
      <c r="E9" s="216"/>
      <c r="F9" s="216"/>
      <c r="G9" s="216"/>
      <c r="H9" s="216"/>
      <c r="I9" s="100" t="s">
        <v>869</v>
      </c>
      <c r="J9" s="100" t="s">
        <v>869</v>
      </c>
      <c r="K9" s="102" t="s">
        <v>869</v>
      </c>
      <c r="L9" s="106">
        <f t="shared" si="0"/>
        <v>0</v>
      </c>
      <c r="M9" s="187"/>
      <c r="N9" s="118"/>
    </row>
    <row r="10" spans="2:14" ht="16.5" thickBot="1">
      <c r="B10" s="216" t="s">
        <v>1367</v>
      </c>
      <c r="C10" s="216"/>
      <c r="D10" s="216"/>
      <c r="E10" s="216"/>
      <c r="F10" s="216"/>
      <c r="G10" s="216"/>
      <c r="H10" s="216"/>
      <c r="I10" s="100">
        <f>'2.1. Energía estacionaria'!Q118</f>
        <v>21.23222099468417</v>
      </c>
      <c r="J10" s="100">
        <f>'2.1. Energía estacionaria'!Q124</f>
        <v>2.2767016667066358</v>
      </c>
      <c r="K10" s="102">
        <f>'2.1. Energía estacionaria'!Q130</f>
        <v>0.2265318158373103</v>
      </c>
      <c r="L10" s="106">
        <f t="shared" si="0"/>
        <v>5.964398656280942E-3</v>
      </c>
      <c r="M10" s="187"/>
    </row>
    <row r="11" spans="2:14" ht="16.5" thickBot="1">
      <c r="B11" s="216" t="s">
        <v>1368</v>
      </c>
      <c r="C11" s="216"/>
      <c r="D11" s="216"/>
      <c r="E11" s="216"/>
      <c r="F11" s="216"/>
      <c r="G11" s="216"/>
      <c r="H11" s="216"/>
      <c r="I11" s="103" t="s">
        <v>869</v>
      </c>
      <c r="J11" s="103" t="s">
        <v>869</v>
      </c>
      <c r="K11" s="103" t="s">
        <v>869</v>
      </c>
      <c r="L11" s="106">
        <f t="shared" si="0"/>
        <v>0</v>
      </c>
      <c r="M11" s="187"/>
    </row>
    <row r="12" spans="2:14" ht="29.25" customHeight="1" thickBot="1">
      <c r="B12" s="255" t="s">
        <v>1369</v>
      </c>
      <c r="C12" s="249"/>
      <c r="D12" s="249"/>
      <c r="E12" s="249"/>
      <c r="F12" s="249"/>
      <c r="G12" s="249"/>
      <c r="H12" s="249"/>
      <c r="I12" s="103" t="s">
        <v>869</v>
      </c>
      <c r="J12" s="5" t="s">
        <v>1370</v>
      </c>
      <c r="K12" s="5" t="s">
        <v>1370</v>
      </c>
      <c r="L12" s="106">
        <f t="shared" si="0"/>
        <v>0</v>
      </c>
      <c r="M12" s="187"/>
    </row>
    <row r="13" spans="2:14" ht="16.5" thickBot="1">
      <c r="B13" s="216" t="s">
        <v>1371</v>
      </c>
      <c r="C13" s="216"/>
      <c r="D13" s="216"/>
      <c r="E13" s="216"/>
      <c r="F13" s="216"/>
      <c r="G13" s="216"/>
      <c r="H13" s="216"/>
      <c r="I13" s="103" t="s">
        <v>869</v>
      </c>
      <c r="J13" s="5" t="s">
        <v>1370</v>
      </c>
      <c r="K13" s="5" t="s">
        <v>1370</v>
      </c>
      <c r="L13" s="106">
        <f t="shared" si="0"/>
        <v>0</v>
      </c>
      <c r="M13" s="187"/>
    </row>
    <row r="14" spans="2:14" ht="16.5" thickBot="1">
      <c r="B14" s="351" t="s">
        <v>143</v>
      </c>
      <c r="C14" s="352"/>
      <c r="D14" s="352"/>
      <c r="E14" s="352"/>
      <c r="F14" s="352"/>
      <c r="G14" s="352"/>
      <c r="H14" s="353"/>
      <c r="I14" s="73"/>
      <c r="J14" s="73"/>
      <c r="K14" s="73"/>
      <c r="L14" s="106">
        <f t="shared" si="0"/>
        <v>0</v>
      </c>
      <c r="M14" s="187"/>
    </row>
    <row r="15" spans="2:14" ht="16.5" thickBot="1">
      <c r="B15" s="216" t="s">
        <v>1372</v>
      </c>
      <c r="C15" s="216"/>
      <c r="D15" s="216"/>
      <c r="E15" s="216"/>
      <c r="F15" s="216"/>
      <c r="G15" s="216"/>
      <c r="H15" s="216"/>
      <c r="I15" s="101">
        <f>'2.2. Transporte'!Q33</f>
        <v>64817.208058792145</v>
      </c>
      <c r="J15" s="101">
        <f>'2.2. Transporte'!Q40</f>
        <v>3.3188867529501334</v>
      </c>
      <c r="K15" s="102">
        <f>'2.2. Transporte'!Q52</f>
        <v>5613.8483413400145</v>
      </c>
      <c r="L15" s="106">
        <f t="shared" si="0"/>
        <v>17.69920579022952</v>
      </c>
      <c r="M15" s="187"/>
      <c r="N15" s="118"/>
    </row>
    <row r="16" spans="2:14" ht="16.5" thickBot="1">
      <c r="B16" s="216" t="s">
        <v>1373</v>
      </c>
      <c r="C16" s="216"/>
      <c r="D16" s="216"/>
      <c r="E16" s="216"/>
      <c r="F16" s="216"/>
      <c r="G16" s="216"/>
      <c r="H16" s="216"/>
      <c r="I16" s="101">
        <f>'2.2. Transporte'!Q61</f>
        <v>224.81559548938287</v>
      </c>
      <c r="J16" s="101" t="s">
        <v>869</v>
      </c>
      <c r="K16" s="159">
        <f>'2.2. Transporte'!Q74</f>
        <v>4496.311909787657</v>
      </c>
      <c r="L16" s="106">
        <f t="shared" si="0"/>
        <v>1.1863554824964873</v>
      </c>
      <c r="M16" s="187"/>
      <c r="N16" s="118"/>
    </row>
    <row r="17" spans="2:14" ht="16.5" thickBot="1">
      <c r="B17" s="216" t="s">
        <v>1374</v>
      </c>
      <c r="C17" s="216"/>
      <c r="D17" s="216"/>
      <c r="E17" s="216"/>
      <c r="F17" s="216"/>
      <c r="G17" s="216"/>
      <c r="H17" s="216"/>
      <c r="I17" s="101" t="s">
        <v>869</v>
      </c>
      <c r="J17" s="102" t="s">
        <v>869</v>
      </c>
      <c r="K17" s="159" t="s">
        <v>869</v>
      </c>
      <c r="L17" s="106">
        <f t="shared" si="0"/>
        <v>0</v>
      </c>
      <c r="M17" s="187"/>
      <c r="N17" s="118"/>
    </row>
    <row r="18" spans="2:14" ht="16.5" thickBot="1">
      <c r="B18" s="216" t="s">
        <v>1375</v>
      </c>
      <c r="C18" s="216"/>
      <c r="D18" s="216"/>
      <c r="E18" s="216"/>
      <c r="F18" s="216"/>
      <c r="G18" s="216"/>
      <c r="H18" s="216"/>
      <c r="I18" s="101" t="s">
        <v>869</v>
      </c>
      <c r="J18" s="102" t="s">
        <v>869</v>
      </c>
      <c r="K18" s="159" t="s">
        <v>869</v>
      </c>
      <c r="L18" s="106">
        <f t="shared" si="0"/>
        <v>0</v>
      </c>
      <c r="M18" s="187"/>
      <c r="N18" s="118"/>
    </row>
    <row r="19" spans="2:14" ht="16.5" thickBot="1">
      <c r="B19" s="216" t="s">
        <v>1376</v>
      </c>
      <c r="C19" s="216"/>
      <c r="D19" s="216"/>
      <c r="E19" s="216"/>
      <c r="F19" s="216"/>
      <c r="G19" s="216"/>
      <c r="H19" s="216"/>
      <c r="I19" s="101">
        <f>'2.2. Transporte'!Q129</f>
        <v>3426.2504331603122</v>
      </c>
      <c r="J19" s="102" t="s">
        <v>869</v>
      </c>
      <c r="K19" s="5" t="s">
        <v>1370</v>
      </c>
      <c r="L19" s="106">
        <f t="shared" si="0"/>
        <v>0.86097038922213509</v>
      </c>
      <c r="M19" s="187"/>
      <c r="N19" s="118"/>
    </row>
    <row r="20" spans="2:14" ht="16.5" thickBot="1">
      <c r="B20" s="351" t="s">
        <v>145</v>
      </c>
      <c r="C20" s="352"/>
      <c r="D20" s="352"/>
      <c r="E20" s="352"/>
      <c r="F20" s="352"/>
      <c r="G20" s="352"/>
      <c r="H20" s="353"/>
      <c r="I20" s="73"/>
      <c r="J20" s="73"/>
      <c r="K20" s="73"/>
      <c r="L20" s="106">
        <f t="shared" si="0"/>
        <v>0</v>
      </c>
      <c r="M20" s="187"/>
    </row>
    <row r="21" spans="2:14" ht="16.5" thickBot="1">
      <c r="B21" s="216" t="s">
        <v>1377</v>
      </c>
      <c r="C21" s="216"/>
      <c r="D21" s="216"/>
      <c r="E21" s="216"/>
      <c r="F21" s="216"/>
      <c r="G21" s="216"/>
      <c r="H21" s="216"/>
      <c r="I21" s="101" t="s">
        <v>869</v>
      </c>
      <c r="J21" s="5" t="s">
        <v>1370</v>
      </c>
      <c r="K21" s="101">
        <f>'2.3. Residuos'!Q17</f>
        <v>9133.372899</v>
      </c>
      <c r="L21" s="106">
        <f t="shared" si="0"/>
        <v>2.2950930684041446</v>
      </c>
      <c r="M21" s="187"/>
    </row>
    <row r="22" spans="2:14" ht="16.5" thickBot="1">
      <c r="B22" s="216" t="s">
        <v>1378</v>
      </c>
      <c r="C22" s="216"/>
      <c r="D22" s="216"/>
      <c r="E22" s="216"/>
      <c r="F22" s="216"/>
      <c r="G22" s="216"/>
      <c r="H22" s="216"/>
      <c r="I22" s="101">
        <f>'2.3. Residuos'!Q31</f>
        <v>232.55237484685961</v>
      </c>
      <c r="J22" s="5" t="s">
        <v>1370</v>
      </c>
      <c r="K22" s="101" t="s">
        <v>869</v>
      </c>
      <c r="L22" s="106">
        <f t="shared" si="0"/>
        <v>5.8437266216337998E-2</v>
      </c>
      <c r="M22" s="187"/>
    </row>
    <row r="23" spans="2:14" ht="16.5" thickBot="1">
      <c r="B23" s="216" t="s">
        <v>1379</v>
      </c>
      <c r="C23" s="216"/>
      <c r="D23" s="216"/>
      <c r="E23" s="216"/>
      <c r="F23" s="216"/>
      <c r="G23" s="216"/>
      <c r="H23" s="216"/>
      <c r="I23" s="102">
        <f>'2.3. Residuos'!Q46</f>
        <v>50.151476144691493</v>
      </c>
      <c r="J23" s="5" t="s">
        <v>1370</v>
      </c>
      <c r="K23" s="102">
        <f>'2.3. Residuos'!Q52</f>
        <v>568.49083677545286</v>
      </c>
      <c r="L23" s="106">
        <f t="shared" si="0"/>
        <v>0.15545644527006966</v>
      </c>
      <c r="M23" s="187"/>
    </row>
    <row r="24" spans="2:14" ht="16.5" thickBot="1">
      <c r="B24" s="216" t="s">
        <v>1380</v>
      </c>
      <c r="C24" s="216"/>
      <c r="D24" s="216"/>
      <c r="E24" s="216"/>
      <c r="F24" s="216"/>
      <c r="G24" s="216"/>
      <c r="H24" s="216"/>
      <c r="I24" s="101">
        <f>'2.3. Residuos'!Q68</f>
        <v>2446.4208466971272</v>
      </c>
      <c r="J24" s="5" t="s">
        <v>1370</v>
      </c>
      <c r="K24" s="101" t="s">
        <v>869</v>
      </c>
      <c r="L24" s="106">
        <f t="shared" si="0"/>
        <v>0.61475246765285663</v>
      </c>
      <c r="M24" s="187"/>
    </row>
    <row r="25" spans="2:14" ht="16.5" thickBot="1">
      <c r="B25" s="351" t="s">
        <v>1381</v>
      </c>
      <c r="C25" s="352"/>
      <c r="D25" s="352"/>
      <c r="E25" s="352"/>
      <c r="F25" s="352"/>
      <c r="G25" s="352"/>
      <c r="H25" s="353"/>
      <c r="I25" s="73"/>
      <c r="J25" s="73"/>
      <c r="K25" s="73"/>
      <c r="L25" s="106">
        <f t="shared" si="0"/>
        <v>0</v>
      </c>
      <c r="M25" s="187"/>
    </row>
    <row r="26" spans="2:14" ht="16.5" thickBot="1">
      <c r="B26" s="216" t="s">
        <v>1382</v>
      </c>
      <c r="C26" s="216"/>
      <c r="D26" s="216"/>
      <c r="E26" s="216"/>
      <c r="F26" s="216"/>
      <c r="G26" s="216"/>
      <c r="H26" s="216"/>
      <c r="I26" s="101">
        <f>'2.4. IPPU'!BA11</f>
        <v>0</v>
      </c>
      <c r="J26" s="5" t="s">
        <v>1370</v>
      </c>
      <c r="K26" s="5" t="s">
        <v>1370</v>
      </c>
      <c r="L26" s="106">
        <f t="shared" si="0"/>
        <v>0</v>
      </c>
      <c r="M26" s="187"/>
    </row>
    <row r="27" spans="2:14" ht="16.5" thickBot="1">
      <c r="B27" s="216" t="s">
        <v>1383</v>
      </c>
      <c r="C27" s="216"/>
      <c r="D27" s="216"/>
      <c r="E27" s="216"/>
      <c r="F27" s="216"/>
      <c r="G27" s="216"/>
      <c r="H27" s="216"/>
      <c r="I27" s="101">
        <f>'2.4. IPPU'!BA88</f>
        <v>184895.28895615131</v>
      </c>
      <c r="J27" s="5" t="s">
        <v>1370</v>
      </c>
      <c r="K27" s="5" t="s">
        <v>1370</v>
      </c>
      <c r="L27" s="106">
        <f t="shared" si="0"/>
        <v>46.461685157988668</v>
      </c>
      <c r="M27" s="187"/>
    </row>
    <row r="28" spans="2:14" ht="16.5" thickBot="1">
      <c r="B28" s="351" t="s">
        <v>1384</v>
      </c>
      <c r="C28" s="352"/>
      <c r="D28" s="352"/>
      <c r="E28" s="352"/>
      <c r="F28" s="352"/>
      <c r="G28" s="352"/>
      <c r="H28" s="353"/>
      <c r="I28" s="73"/>
      <c r="J28" s="73"/>
      <c r="K28" s="73"/>
      <c r="L28" s="106">
        <f t="shared" si="0"/>
        <v>0</v>
      </c>
      <c r="M28" s="187"/>
    </row>
    <row r="29" spans="2:14" ht="16.5" thickBot="1">
      <c r="B29" s="216" t="s">
        <v>1385</v>
      </c>
      <c r="C29" s="216"/>
      <c r="D29" s="216"/>
      <c r="E29" s="216"/>
      <c r="F29" s="216"/>
      <c r="G29" s="216"/>
      <c r="H29" s="216"/>
      <c r="I29" s="101">
        <f>'2.5. AFOLU'!Q17</f>
        <v>478.58192969999999</v>
      </c>
      <c r="J29" s="5" t="s">
        <v>1370</v>
      </c>
      <c r="K29" s="5" t="s">
        <v>1370</v>
      </c>
      <c r="L29" s="106">
        <f t="shared" si="0"/>
        <v>0.12026116547132447</v>
      </c>
      <c r="M29" s="187"/>
    </row>
    <row r="30" spans="2:14" ht="16.5" thickBot="1">
      <c r="B30" s="216" t="s">
        <v>1386</v>
      </c>
      <c r="C30" s="216"/>
      <c r="D30" s="216"/>
      <c r="E30" s="216"/>
      <c r="F30" s="216"/>
      <c r="G30" s="216"/>
      <c r="H30" s="216"/>
      <c r="I30" s="101">
        <f>'2.5. AFOLU'!Q28</f>
        <v>508.79398808619885</v>
      </c>
      <c r="J30" s="5" t="s">
        <v>1370</v>
      </c>
      <c r="K30" s="5" t="s">
        <v>1370</v>
      </c>
      <c r="L30" s="106">
        <f t="shared" si="0"/>
        <v>0.12785304708517803</v>
      </c>
      <c r="M30" s="187"/>
    </row>
    <row r="31" spans="2:14" ht="16.5" thickBot="1">
      <c r="B31" s="216" t="s">
        <v>1387</v>
      </c>
      <c r="C31" s="216"/>
      <c r="D31" s="216"/>
      <c r="E31" s="216"/>
      <c r="F31" s="216"/>
      <c r="G31" s="216"/>
      <c r="H31" s="216"/>
      <c r="I31" s="101">
        <f>'2.5. AFOLU'!Q63</f>
        <v>72.315509634186242</v>
      </c>
      <c r="J31" s="5" t="s">
        <v>1370</v>
      </c>
      <c r="K31" s="5" t="s">
        <v>1370</v>
      </c>
      <c r="L31" s="106">
        <f t="shared" si="0"/>
        <v>1.8171909406842011E-2</v>
      </c>
      <c r="M31" s="187"/>
    </row>
    <row r="32" spans="2:14" ht="16.5" thickBot="1"/>
    <row r="33" spans="2:15" ht="16.5" thickBot="1">
      <c r="B33" s="358" t="s">
        <v>1388</v>
      </c>
      <c r="C33" s="358"/>
      <c r="D33" s="358"/>
      <c r="E33" s="358"/>
      <c r="F33" s="358"/>
      <c r="G33" s="358"/>
      <c r="H33" s="358"/>
      <c r="I33" s="105">
        <f>SUM(I6:I31)</f>
        <v>363204.15271323803</v>
      </c>
      <c r="J33" s="105">
        <f t="shared" ref="J33:K33" si="1">SUM(J6:J31)</f>
        <v>13654.880270988649</v>
      </c>
      <c r="K33" s="105">
        <f t="shared" si="1"/>
        <v>21093.147026963125</v>
      </c>
      <c r="L33" s="71">
        <f>SUM(L6:L31)</f>
        <v>100</v>
      </c>
      <c r="N33" s="140"/>
    </row>
    <row r="34" spans="2:15" ht="16.5" thickBot="1">
      <c r="B34" s="358" t="s">
        <v>1389</v>
      </c>
      <c r="C34" s="358"/>
      <c r="D34" s="358"/>
      <c r="E34" s="358"/>
      <c r="F34" s="358"/>
      <c r="G34" s="358"/>
      <c r="H34" s="358"/>
      <c r="I34" s="104">
        <f>SUM(I33:K33)</f>
        <v>397952.18001118978</v>
      </c>
    </row>
    <row r="35" spans="2:15" ht="16.5" thickBot="1">
      <c r="B35" s="362" t="s">
        <v>1390</v>
      </c>
      <c r="C35" s="363"/>
      <c r="D35" s="363"/>
      <c r="E35" s="363"/>
      <c r="F35" s="363"/>
      <c r="G35" s="363"/>
      <c r="H35" s="364"/>
      <c r="I35" s="99">
        <f>'2.5. AFOLU'!Q27</f>
        <v>-300.25785455541427</v>
      </c>
      <c r="L35" s="213"/>
      <c r="M35" s="213"/>
      <c r="N35" s="213"/>
      <c r="O35" s="213"/>
    </row>
    <row r="36" spans="2:15" ht="16.5" thickBot="1">
      <c r="B36" s="362" t="s">
        <v>1391</v>
      </c>
      <c r="C36" s="363"/>
      <c r="D36" s="363"/>
      <c r="E36" s="363"/>
      <c r="F36" s="363"/>
      <c r="G36" s="363"/>
      <c r="H36" s="364"/>
      <c r="I36" s="104">
        <f>SUM(I34:I35)</f>
        <v>397651.92215663433</v>
      </c>
      <c r="L36" s="213"/>
      <c r="M36" s="213"/>
      <c r="N36" s="213"/>
    </row>
    <row r="37" spans="2:15" ht="16.5" thickBot="1">
      <c r="K37" s="206"/>
    </row>
    <row r="38" spans="2:15" ht="16.5" thickBot="1">
      <c r="B38" s="365" t="s">
        <v>1392</v>
      </c>
      <c r="C38" s="366"/>
      <c r="D38" s="366"/>
      <c r="E38" s="366"/>
      <c r="F38" s="366"/>
      <c r="G38" s="366"/>
      <c r="H38" s="367"/>
      <c r="I38" s="172">
        <f>I36/'1.1. Descripción de la ciudad'!C13</f>
        <v>12.947348749931114</v>
      </c>
      <c r="K38" s="207"/>
    </row>
    <row r="39" spans="2:15" ht="16.5" thickBot="1">
      <c r="B39" s="365" t="s">
        <v>1393</v>
      </c>
      <c r="C39" s="366"/>
      <c r="D39" s="366"/>
      <c r="E39" s="366"/>
      <c r="F39" s="366"/>
      <c r="G39" s="366"/>
      <c r="H39" s="367"/>
      <c r="I39" s="172">
        <f>(I6+I7+J6+J7+I10+J10+SUM('2.2. Transporte'!Q10:Q21)+SUM('2.2. Transporte'!Q27:Q29)+'2.2. Transporte'!Q40+'2.2. Transporte'!Q52+'2.2. Transporte'!Q61+'2.2. Transporte'!Q74+SUM('2.2. Transporte'!Q124:Q125)+'2.3. Residuos'!Q17+SUM('2.3. Residuos'!Q25:Q28)+'2.3. Residuos'!Q30+'2.3. Residuos'!Q46+'2.3. Residuos'!Q68+SUM('2.4. IPPU'!BA19:BA41)+SUM('2.4. IPPU'!BA86:BA87)+'3. Emisiones netas'!I29+'3. Emisiones netas'!I30+'3. Emisiones netas'!I31)/30713</f>
        <v>2.7209830442567386</v>
      </c>
    </row>
    <row r="40" spans="2:15" ht="16.5" thickBot="1">
      <c r="B40" s="365" t="s">
        <v>1394</v>
      </c>
      <c r="C40" s="366"/>
      <c r="D40" s="366"/>
      <c r="E40" s="366"/>
      <c r="F40" s="366"/>
      <c r="G40" s="366"/>
      <c r="H40" s="367"/>
      <c r="I40" s="172">
        <f>(I8+J8+SUM('2.2. Transporte'!Q22:Q26)+SUM('2.2. Transporte'!Q126:Q128)+'2.3. Residuos'!Q29+'2.3. Residuos'!Q68+'3. Emisiones netas'!I27)/37</f>
        <v>8326.8624508033754</v>
      </c>
    </row>
    <row r="41" spans="2:15" ht="16.5" thickBot="1"/>
    <row r="42" spans="2:15" ht="48" thickBot="1">
      <c r="B42" s="355" t="s">
        <v>1395</v>
      </c>
      <c r="C42" s="356"/>
      <c r="D42" s="356"/>
      <c r="E42" s="356"/>
      <c r="F42" s="356"/>
      <c r="G42" s="356"/>
      <c r="H42" s="357"/>
      <c r="I42" s="65" t="s">
        <v>1359</v>
      </c>
      <c r="J42" s="65" t="s">
        <v>1360</v>
      </c>
      <c r="K42" s="65" t="s">
        <v>1361</v>
      </c>
      <c r="L42" s="65" t="s">
        <v>1396</v>
      </c>
      <c r="M42" s="65" t="s">
        <v>1362</v>
      </c>
    </row>
    <row r="43" spans="2:15" ht="16.5" thickBot="1">
      <c r="B43" s="350" t="s">
        <v>141</v>
      </c>
      <c r="C43" s="350"/>
      <c r="D43" s="350"/>
      <c r="E43" s="350"/>
      <c r="F43" s="350"/>
      <c r="G43" s="350"/>
      <c r="H43" s="350"/>
      <c r="I43" s="117">
        <f>SUM(I6:I13)</f>
        <v>106051.7735445358</v>
      </c>
      <c r="J43" s="117">
        <f>SUM(J6:J13)</f>
        <v>13651.5613842357</v>
      </c>
      <c r="K43" s="119">
        <f>SUM(K6:K13)</f>
        <v>1281.12304006</v>
      </c>
      <c r="L43" s="105">
        <f>SUM(I43:K43)</f>
        <v>120984.4579688315</v>
      </c>
      <c r="M43" s="120">
        <f>IF((SUM(I43:K43))=0,0,(L43/$I$34)*100)</f>
        <v>30.401757810556436</v>
      </c>
    </row>
    <row r="44" spans="2:15" ht="16.5" thickBot="1">
      <c r="B44" s="351" t="s">
        <v>143</v>
      </c>
      <c r="C44" s="352"/>
      <c r="D44" s="352"/>
      <c r="E44" s="352"/>
      <c r="F44" s="352"/>
      <c r="G44" s="352"/>
      <c r="H44" s="353"/>
      <c r="I44" s="117">
        <f>SUM(I15:I19)</f>
        <v>68468.274087441838</v>
      </c>
      <c r="J44" s="117">
        <f>SUM(J15:J19)</f>
        <v>3.3188867529501334</v>
      </c>
      <c r="K44" s="119">
        <f>SUM(K15:K19)</f>
        <v>10110.160251127672</v>
      </c>
      <c r="L44" s="105">
        <f t="shared" ref="L44:L47" si="2">SUM(I44:K44)</f>
        <v>78581.753225322464</v>
      </c>
      <c r="M44" s="120">
        <f t="shared" ref="M44:M47" si="3">IF((SUM(I44:K44))=0,0,(L44/$I$34)*100)</f>
        <v>19.746531661948143</v>
      </c>
    </row>
    <row r="45" spans="2:15" ht="16.5" thickBot="1">
      <c r="B45" s="351" t="s">
        <v>145</v>
      </c>
      <c r="C45" s="352"/>
      <c r="D45" s="352"/>
      <c r="E45" s="352"/>
      <c r="F45" s="352"/>
      <c r="G45" s="352"/>
      <c r="H45" s="353"/>
      <c r="I45" s="117">
        <f>SUM(I21:I24)</f>
        <v>2729.1246976886782</v>
      </c>
      <c r="J45" s="73" t="s">
        <v>1370</v>
      </c>
      <c r="K45" s="117">
        <f>SUM(K21:K24)</f>
        <v>9701.8637357754524</v>
      </c>
      <c r="L45" s="105">
        <f t="shared" si="2"/>
        <v>12430.98843346413</v>
      </c>
      <c r="M45" s="120">
        <f t="shared" si="3"/>
        <v>3.1237392475434085</v>
      </c>
    </row>
    <row r="46" spans="2:15" ht="16.5" thickBot="1">
      <c r="B46" s="351" t="s">
        <v>1381</v>
      </c>
      <c r="C46" s="352"/>
      <c r="D46" s="352"/>
      <c r="E46" s="352"/>
      <c r="F46" s="352"/>
      <c r="G46" s="352"/>
      <c r="H46" s="353"/>
      <c r="I46" s="117">
        <f>SUM(I26:I27)</f>
        <v>184895.28895615131</v>
      </c>
      <c r="J46" s="73" t="s">
        <v>1370</v>
      </c>
      <c r="K46" s="73" t="s">
        <v>1370</v>
      </c>
      <c r="L46" s="105">
        <f t="shared" si="2"/>
        <v>184895.28895615131</v>
      </c>
      <c r="M46" s="120">
        <f t="shared" si="3"/>
        <v>46.461685157988668</v>
      </c>
    </row>
    <row r="47" spans="2:15" ht="16.5" thickBot="1">
      <c r="B47" s="351" t="s">
        <v>1384</v>
      </c>
      <c r="C47" s="352"/>
      <c r="D47" s="352"/>
      <c r="E47" s="352"/>
      <c r="F47" s="352"/>
      <c r="G47" s="352"/>
      <c r="H47" s="353"/>
      <c r="I47" s="117">
        <f>SUM(I29:I31)</f>
        <v>1059.691427420385</v>
      </c>
      <c r="J47" s="73" t="s">
        <v>1370</v>
      </c>
      <c r="K47" s="73" t="s">
        <v>1370</v>
      </c>
      <c r="L47" s="105">
        <f t="shared" si="2"/>
        <v>1059.691427420385</v>
      </c>
      <c r="M47" s="120">
        <f t="shared" si="3"/>
        <v>0.2662861219633445</v>
      </c>
    </row>
    <row r="48" spans="2:15">
      <c r="B48" s="72"/>
      <c r="C48" s="72"/>
      <c r="D48" s="72"/>
      <c r="E48" s="72"/>
      <c r="F48" s="72"/>
      <c r="G48" s="72"/>
      <c r="H48" s="72"/>
      <c r="J48" s="55"/>
      <c r="K48" s="55"/>
    </row>
    <row r="50" spans="2:12" ht="16.5" thickBot="1"/>
    <row r="51" spans="2:12" ht="16.5" thickBot="1">
      <c r="B51" s="253" t="s">
        <v>1397</v>
      </c>
      <c r="C51" s="360"/>
      <c r="D51" s="360"/>
      <c r="E51" s="360"/>
      <c r="F51" s="360"/>
      <c r="G51" s="360"/>
      <c r="H51" s="360"/>
      <c r="I51" s="360"/>
      <c r="J51" s="360"/>
      <c r="K51" s="360"/>
      <c r="L51" s="254"/>
    </row>
    <row r="52" spans="2:12" ht="16.5" thickBot="1">
      <c r="B52" s="216"/>
      <c r="C52" s="216"/>
      <c r="D52" s="216"/>
      <c r="E52" s="216"/>
      <c r="F52" s="216"/>
      <c r="G52" s="216"/>
      <c r="H52" s="216"/>
      <c r="I52" s="216"/>
      <c r="J52" s="216"/>
      <c r="K52" s="216"/>
      <c r="L52" s="216"/>
    </row>
    <row r="53" spans="2:12" ht="16.5" thickBot="1">
      <c r="B53" s="216"/>
      <c r="C53" s="216"/>
      <c r="D53" s="216"/>
      <c r="E53" s="216"/>
      <c r="F53" s="216"/>
      <c r="G53" s="216"/>
      <c r="H53" s="216"/>
      <c r="I53" s="216"/>
      <c r="J53" s="216"/>
      <c r="K53" s="216"/>
      <c r="L53" s="216"/>
    </row>
    <row r="54" spans="2:12" ht="16.5" thickBot="1">
      <c r="B54" s="216"/>
      <c r="C54" s="216"/>
      <c r="D54" s="216"/>
      <c r="E54" s="216"/>
      <c r="F54" s="216"/>
      <c r="G54" s="216"/>
      <c r="H54" s="216"/>
      <c r="I54" s="216"/>
      <c r="J54" s="216"/>
      <c r="K54" s="216"/>
      <c r="L54" s="216"/>
    </row>
    <row r="55" spans="2:12" ht="16.5" thickBot="1">
      <c r="B55" s="216"/>
      <c r="C55" s="216"/>
      <c r="D55" s="216"/>
      <c r="E55" s="216"/>
      <c r="F55" s="216"/>
      <c r="G55" s="216"/>
      <c r="H55" s="216"/>
      <c r="I55" s="216"/>
      <c r="J55" s="216"/>
      <c r="K55" s="216"/>
      <c r="L55" s="216"/>
    </row>
    <row r="56" spans="2:12" ht="16.5" thickBot="1">
      <c r="B56" s="216"/>
      <c r="C56" s="216"/>
      <c r="D56" s="216"/>
      <c r="E56" s="216"/>
      <c r="F56" s="216"/>
      <c r="G56" s="216"/>
      <c r="H56" s="216"/>
      <c r="I56" s="216"/>
      <c r="J56" s="216"/>
      <c r="K56" s="216"/>
      <c r="L56" s="216"/>
    </row>
    <row r="57" spans="2:12" ht="16.5" thickBot="1">
      <c r="B57" s="216"/>
      <c r="C57" s="216"/>
      <c r="D57" s="216"/>
      <c r="E57" s="216"/>
      <c r="F57" s="216"/>
      <c r="G57" s="216"/>
      <c r="H57" s="216"/>
      <c r="I57" s="216"/>
      <c r="J57" s="216"/>
      <c r="K57" s="216"/>
      <c r="L57" s="216"/>
    </row>
    <row r="58" spans="2:12" ht="16.5" thickBot="1">
      <c r="B58" s="216"/>
      <c r="C58" s="216"/>
      <c r="D58" s="216"/>
      <c r="E58" s="216"/>
      <c r="F58" s="216"/>
      <c r="G58" s="216"/>
      <c r="H58" s="216"/>
      <c r="I58" s="216"/>
      <c r="J58" s="216"/>
      <c r="K58" s="216"/>
      <c r="L58" s="216"/>
    </row>
    <row r="59" spans="2:12" ht="16.5" thickBot="1">
      <c r="B59" s="216"/>
      <c r="C59" s="216"/>
      <c r="D59" s="216"/>
      <c r="E59" s="216"/>
      <c r="F59" s="216"/>
      <c r="G59" s="216"/>
      <c r="H59" s="216"/>
      <c r="I59" s="216"/>
      <c r="J59" s="216"/>
      <c r="K59" s="216"/>
      <c r="L59" s="216"/>
    </row>
    <row r="60" spans="2:12" ht="16.5" thickBot="1">
      <c r="B60" s="216"/>
      <c r="C60" s="216"/>
      <c r="D60" s="216"/>
      <c r="E60" s="216"/>
      <c r="F60" s="216"/>
      <c r="G60" s="216"/>
      <c r="H60" s="216"/>
      <c r="I60" s="216"/>
      <c r="J60" s="216"/>
      <c r="K60" s="216"/>
      <c r="L60" s="216"/>
    </row>
    <row r="61" spans="2:12" ht="16.5" thickBot="1">
      <c r="B61" s="216"/>
      <c r="C61" s="216"/>
      <c r="D61" s="216"/>
      <c r="E61" s="216"/>
      <c r="F61" s="216"/>
      <c r="G61" s="216"/>
      <c r="H61" s="216"/>
      <c r="I61" s="216"/>
      <c r="J61" s="216"/>
      <c r="K61" s="216"/>
      <c r="L61" s="216"/>
    </row>
    <row r="62" spans="2:12" ht="16.5" thickBot="1">
      <c r="B62" s="216"/>
      <c r="C62" s="216"/>
      <c r="D62" s="216"/>
      <c r="E62" s="216"/>
      <c r="F62" s="216"/>
      <c r="G62" s="216"/>
      <c r="H62" s="216"/>
      <c r="I62" s="216"/>
      <c r="J62" s="216"/>
      <c r="K62" s="216"/>
      <c r="L62" s="216"/>
    </row>
    <row r="63" spans="2:12" ht="16.5" thickBot="1">
      <c r="B63" s="216"/>
      <c r="C63" s="216"/>
      <c r="D63" s="216"/>
      <c r="E63" s="216"/>
      <c r="F63" s="216"/>
      <c r="G63" s="216"/>
      <c r="H63" s="216"/>
      <c r="I63" s="216"/>
      <c r="J63" s="216"/>
      <c r="K63" s="216"/>
      <c r="L63" s="216"/>
    </row>
    <row r="64" spans="2:12" ht="16.5" thickBot="1">
      <c r="B64" s="216"/>
      <c r="C64" s="216"/>
      <c r="D64" s="216"/>
      <c r="E64" s="216"/>
      <c r="F64" s="216"/>
      <c r="G64" s="216"/>
      <c r="H64" s="216"/>
      <c r="I64" s="216"/>
      <c r="J64" s="216"/>
      <c r="K64" s="216"/>
      <c r="L64" s="216"/>
    </row>
    <row r="66" spans="2:12" ht="16.5" thickBot="1"/>
    <row r="67" spans="2:12" ht="16.5" thickBot="1">
      <c r="B67" s="253" t="s">
        <v>1398</v>
      </c>
      <c r="C67" s="360"/>
      <c r="D67" s="360"/>
      <c r="E67" s="360"/>
      <c r="F67" s="360"/>
      <c r="G67" s="360"/>
      <c r="H67" s="360"/>
      <c r="I67" s="360"/>
      <c r="J67" s="360"/>
      <c r="K67" s="360"/>
      <c r="L67" s="254"/>
    </row>
    <row r="68" spans="2:12" ht="16.5" thickBot="1">
      <c r="B68" s="216"/>
      <c r="C68" s="216"/>
      <c r="D68" s="216"/>
      <c r="E68" s="216"/>
      <c r="F68" s="216"/>
      <c r="G68" s="216"/>
      <c r="H68" s="216"/>
      <c r="I68" s="216"/>
      <c r="J68" s="216"/>
      <c r="K68" s="216"/>
      <c r="L68" s="216"/>
    </row>
    <row r="69" spans="2:12" ht="16.5" thickBot="1">
      <c r="B69" s="216"/>
      <c r="C69" s="216"/>
      <c r="D69" s="216"/>
      <c r="E69" s="216"/>
      <c r="F69" s="216"/>
      <c r="G69" s="216"/>
      <c r="H69" s="216"/>
      <c r="I69" s="216"/>
      <c r="J69" s="216"/>
      <c r="K69" s="216"/>
      <c r="L69" s="216"/>
    </row>
    <row r="70" spans="2:12" ht="16.5" thickBot="1">
      <c r="B70" s="216"/>
      <c r="C70" s="216"/>
      <c r="D70" s="216"/>
      <c r="E70" s="216"/>
      <c r="F70" s="216"/>
      <c r="G70" s="216"/>
      <c r="H70" s="216"/>
      <c r="I70" s="216"/>
      <c r="J70" s="216"/>
      <c r="K70" s="216"/>
      <c r="L70" s="216"/>
    </row>
    <row r="71" spans="2:12" ht="16.5" thickBot="1">
      <c r="B71" s="216"/>
      <c r="C71" s="216"/>
      <c r="D71" s="216"/>
      <c r="E71" s="216"/>
      <c r="F71" s="216"/>
      <c r="G71" s="216"/>
      <c r="H71" s="216"/>
      <c r="I71" s="216"/>
      <c r="J71" s="216"/>
      <c r="K71" s="216"/>
      <c r="L71" s="216"/>
    </row>
    <row r="72" spans="2:12" ht="16.5" thickBot="1">
      <c r="B72" s="216"/>
      <c r="C72" s="216"/>
      <c r="D72" s="216"/>
      <c r="E72" s="216"/>
      <c r="F72" s="216"/>
      <c r="G72" s="216"/>
      <c r="H72" s="216"/>
      <c r="I72" s="216"/>
      <c r="J72" s="216"/>
      <c r="K72" s="216"/>
      <c r="L72" s="216"/>
    </row>
    <row r="73" spans="2:12" ht="16.5" thickBot="1">
      <c r="B73" s="216"/>
      <c r="C73" s="216"/>
      <c r="D73" s="216"/>
      <c r="E73" s="216"/>
      <c r="F73" s="216"/>
      <c r="G73" s="216"/>
      <c r="H73" s="216"/>
      <c r="I73" s="216"/>
      <c r="J73" s="216"/>
      <c r="K73" s="216"/>
      <c r="L73" s="216"/>
    </row>
    <row r="74" spans="2:12" ht="16.5" thickBot="1">
      <c r="B74" s="216"/>
      <c r="C74" s="216"/>
      <c r="D74" s="216"/>
      <c r="E74" s="216"/>
      <c r="F74" s="216"/>
      <c r="G74" s="216"/>
      <c r="H74" s="216"/>
      <c r="I74" s="216"/>
      <c r="J74" s="216"/>
      <c r="K74" s="216"/>
      <c r="L74" s="216"/>
    </row>
    <row r="75" spans="2:12" ht="16.5" thickBot="1">
      <c r="B75" s="216"/>
      <c r="C75" s="216"/>
      <c r="D75" s="216"/>
      <c r="E75" s="216"/>
      <c r="F75" s="216"/>
      <c r="G75" s="216"/>
      <c r="H75" s="216"/>
      <c r="I75" s="216"/>
      <c r="J75" s="216"/>
      <c r="K75" s="216"/>
      <c r="L75" s="216"/>
    </row>
    <row r="76" spans="2:12" ht="16.5" thickBot="1">
      <c r="B76" s="216"/>
      <c r="C76" s="216"/>
      <c r="D76" s="216"/>
      <c r="E76" s="216"/>
      <c r="F76" s="216"/>
      <c r="G76" s="216"/>
      <c r="H76" s="216"/>
      <c r="I76" s="216"/>
      <c r="J76" s="216"/>
      <c r="K76" s="216"/>
      <c r="L76" s="216"/>
    </row>
    <row r="77" spans="2:12" ht="16.5" thickBot="1">
      <c r="B77" s="216"/>
      <c r="C77" s="216"/>
      <c r="D77" s="216"/>
      <c r="E77" s="216"/>
      <c r="F77" s="216"/>
      <c r="G77" s="216"/>
      <c r="H77" s="216"/>
      <c r="I77" s="216"/>
      <c r="J77" s="216"/>
      <c r="K77" s="216"/>
      <c r="L77" s="216"/>
    </row>
    <row r="78" spans="2:12" ht="16.5" thickBot="1">
      <c r="B78" s="216"/>
      <c r="C78" s="216"/>
      <c r="D78" s="216"/>
      <c r="E78" s="216"/>
      <c r="F78" s="216"/>
      <c r="G78" s="216"/>
      <c r="H78" s="216"/>
      <c r="I78" s="216"/>
      <c r="J78" s="216"/>
      <c r="K78" s="216"/>
      <c r="L78" s="216"/>
    </row>
    <row r="79" spans="2:12" ht="16.5" thickBot="1">
      <c r="B79" s="216"/>
      <c r="C79" s="216"/>
      <c r="D79" s="216"/>
      <c r="E79" s="216"/>
      <c r="F79" s="216"/>
      <c r="G79" s="216"/>
      <c r="H79" s="216"/>
      <c r="I79" s="216"/>
      <c r="J79" s="216"/>
      <c r="K79" s="216"/>
      <c r="L79" s="216"/>
    </row>
    <row r="80" spans="2:12" ht="16.5" thickBot="1">
      <c r="B80" s="216"/>
      <c r="C80" s="216"/>
      <c r="D80" s="216"/>
      <c r="E80" s="216"/>
      <c r="F80" s="216"/>
      <c r="G80" s="216"/>
      <c r="H80" s="216"/>
      <c r="I80" s="216"/>
      <c r="J80" s="216"/>
      <c r="K80" s="216"/>
      <c r="L80" s="216"/>
    </row>
    <row r="82" spans="2:12" ht="16.5" thickBot="1"/>
    <row r="83" spans="2:12" ht="16.5" thickBot="1">
      <c r="B83" s="253" t="s">
        <v>1399</v>
      </c>
      <c r="C83" s="360"/>
      <c r="D83" s="360"/>
      <c r="E83" s="360"/>
      <c r="F83" s="360"/>
      <c r="G83" s="360"/>
      <c r="H83" s="360"/>
      <c r="I83" s="360"/>
      <c r="J83" s="360"/>
      <c r="K83" s="360"/>
      <c r="L83" s="254"/>
    </row>
    <row r="84" spans="2:12" ht="16.5" thickBot="1">
      <c r="B84" s="216"/>
      <c r="C84" s="216"/>
      <c r="D84" s="216"/>
      <c r="E84" s="216"/>
      <c r="F84" s="216"/>
      <c r="G84" s="216"/>
      <c r="H84" s="216"/>
      <c r="I84" s="216"/>
      <c r="J84" s="216"/>
      <c r="K84" s="216"/>
      <c r="L84" s="216"/>
    </row>
    <row r="85" spans="2:12" ht="16.5" thickBot="1">
      <c r="B85" s="216"/>
      <c r="C85" s="216"/>
      <c r="D85" s="216"/>
      <c r="E85" s="216"/>
      <c r="F85" s="216"/>
      <c r="G85" s="216"/>
      <c r="H85" s="216"/>
      <c r="I85" s="216"/>
      <c r="J85" s="216"/>
      <c r="K85" s="216"/>
      <c r="L85" s="216"/>
    </row>
    <row r="86" spans="2:12" ht="16.5" thickBot="1">
      <c r="B86" s="216"/>
      <c r="C86" s="216"/>
      <c r="D86" s="216"/>
      <c r="E86" s="216"/>
      <c r="F86" s="216"/>
      <c r="G86" s="216"/>
      <c r="H86" s="216"/>
      <c r="I86" s="216"/>
      <c r="J86" s="216"/>
      <c r="K86" s="216"/>
      <c r="L86" s="216"/>
    </row>
    <row r="87" spans="2:12" ht="16.5" thickBot="1">
      <c r="B87" s="216"/>
      <c r="C87" s="216"/>
      <c r="D87" s="216"/>
      <c r="E87" s="216"/>
      <c r="F87" s="216"/>
      <c r="G87" s="216"/>
      <c r="H87" s="216"/>
      <c r="I87" s="216"/>
      <c r="J87" s="216"/>
      <c r="K87" s="216"/>
      <c r="L87" s="216"/>
    </row>
    <row r="88" spans="2:12" ht="16.5" thickBot="1">
      <c r="B88" s="216"/>
      <c r="C88" s="216"/>
      <c r="D88" s="216"/>
      <c r="E88" s="216"/>
      <c r="F88" s="216"/>
      <c r="G88" s="216"/>
      <c r="H88" s="216"/>
      <c r="I88" s="216"/>
      <c r="J88" s="216"/>
      <c r="K88" s="216"/>
      <c r="L88" s="216"/>
    </row>
    <row r="89" spans="2:12" ht="16.5" thickBot="1">
      <c r="B89" s="216"/>
      <c r="C89" s="216"/>
      <c r="D89" s="216"/>
      <c r="E89" s="216"/>
      <c r="F89" s="216"/>
      <c r="G89" s="216"/>
      <c r="H89" s="216"/>
      <c r="I89" s="216"/>
      <c r="J89" s="216"/>
      <c r="K89" s="216"/>
      <c r="L89" s="216"/>
    </row>
    <row r="90" spans="2:12" ht="16.5" thickBot="1">
      <c r="B90" s="216"/>
      <c r="C90" s="216"/>
      <c r="D90" s="216"/>
      <c r="E90" s="216"/>
      <c r="F90" s="216"/>
      <c r="G90" s="216"/>
      <c r="H90" s="216"/>
      <c r="I90" s="216"/>
      <c r="J90" s="216"/>
      <c r="K90" s="216"/>
      <c r="L90" s="216"/>
    </row>
    <row r="91" spans="2:12" ht="16.5" thickBot="1">
      <c r="B91" s="216"/>
      <c r="C91" s="216"/>
      <c r="D91" s="216"/>
      <c r="E91" s="216"/>
      <c r="F91" s="216"/>
      <c r="G91" s="216"/>
      <c r="H91" s="216"/>
      <c r="I91" s="216"/>
      <c r="J91" s="216"/>
      <c r="K91" s="216"/>
      <c r="L91" s="216"/>
    </row>
    <row r="92" spans="2:12" ht="16.5" thickBot="1">
      <c r="B92" s="216"/>
      <c r="C92" s="216"/>
      <c r="D92" s="216"/>
      <c r="E92" s="216"/>
      <c r="F92" s="216"/>
      <c r="G92" s="216"/>
      <c r="H92" s="216"/>
      <c r="I92" s="216"/>
      <c r="J92" s="216"/>
      <c r="K92" s="216"/>
      <c r="L92" s="216"/>
    </row>
    <row r="93" spans="2:12" ht="16.5" thickBot="1">
      <c r="B93" s="216"/>
      <c r="C93" s="216"/>
      <c r="D93" s="216"/>
      <c r="E93" s="216"/>
      <c r="F93" s="216"/>
      <c r="G93" s="216"/>
      <c r="H93" s="216"/>
      <c r="I93" s="216"/>
      <c r="J93" s="216"/>
      <c r="K93" s="216"/>
      <c r="L93" s="216"/>
    </row>
    <row r="94" spans="2:12" ht="16.5" thickBot="1">
      <c r="B94" s="216"/>
      <c r="C94" s="216"/>
      <c r="D94" s="216"/>
      <c r="E94" s="216"/>
      <c r="F94" s="216"/>
      <c r="G94" s="216"/>
      <c r="H94" s="216"/>
      <c r="I94" s="216"/>
      <c r="J94" s="216"/>
      <c r="K94" s="216"/>
      <c r="L94" s="216"/>
    </row>
    <row r="95" spans="2:12" ht="16.5" thickBot="1">
      <c r="B95" s="216"/>
      <c r="C95" s="216"/>
      <c r="D95" s="216"/>
      <c r="E95" s="216"/>
      <c r="F95" s="216"/>
      <c r="G95" s="216"/>
      <c r="H95" s="216"/>
      <c r="I95" s="216"/>
      <c r="J95" s="216"/>
      <c r="K95" s="216"/>
      <c r="L95" s="216"/>
    </row>
    <row r="96" spans="2:12" ht="16.5" thickBot="1">
      <c r="B96" s="216"/>
      <c r="C96" s="216"/>
      <c r="D96" s="216"/>
      <c r="E96" s="216"/>
      <c r="F96" s="216"/>
      <c r="G96" s="216"/>
      <c r="H96" s="216"/>
      <c r="I96" s="216"/>
      <c r="J96" s="216"/>
      <c r="K96" s="216"/>
      <c r="L96" s="216"/>
    </row>
    <row r="98" spans="2:12" ht="16.5" thickBot="1"/>
    <row r="99" spans="2:12" ht="16.5" thickBot="1">
      <c r="B99" s="244" t="s">
        <v>327</v>
      </c>
      <c r="C99" s="244"/>
      <c r="D99" s="244"/>
      <c r="E99" s="244"/>
      <c r="F99" s="244"/>
      <c r="G99" s="244"/>
      <c r="H99" s="244" t="s">
        <v>1400</v>
      </c>
      <c r="I99" s="244"/>
      <c r="J99" s="244"/>
      <c r="K99" s="244"/>
      <c r="L99" s="244"/>
    </row>
    <row r="100" spans="2:12" ht="16.5" thickBot="1">
      <c r="B100" s="216"/>
      <c r="C100" s="216"/>
      <c r="D100" s="216"/>
      <c r="E100" s="216"/>
      <c r="F100" s="216"/>
      <c r="G100" s="216"/>
      <c r="H100" s="216"/>
      <c r="I100" s="216"/>
      <c r="J100" s="216"/>
      <c r="K100" s="216"/>
      <c r="L100" s="216"/>
    </row>
    <row r="101" spans="2:12" ht="16.5" thickBot="1">
      <c r="B101" s="216"/>
      <c r="C101" s="216"/>
      <c r="D101" s="216"/>
      <c r="E101" s="216"/>
      <c r="F101" s="216"/>
      <c r="G101" s="216"/>
      <c r="H101" s="216"/>
      <c r="I101" s="216"/>
      <c r="J101" s="216"/>
      <c r="K101" s="216"/>
      <c r="L101" s="216"/>
    </row>
    <row r="102" spans="2:12" ht="16.5" thickBot="1">
      <c r="B102" s="216"/>
      <c r="C102" s="216"/>
      <c r="D102" s="216"/>
      <c r="E102" s="216"/>
      <c r="F102" s="216"/>
      <c r="G102" s="216"/>
      <c r="H102" s="216"/>
      <c r="I102" s="216"/>
      <c r="J102" s="216"/>
      <c r="K102" s="216"/>
      <c r="L102" s="216"/>
    </row>
    <row r="103" spans="2:12" ht="16.5" thickBot="1">
      <c r="B103" s="216"/>
      <c r="C103" s="216"/>
      <c r="D103" s="216"/>
      <c r="E103" s="216"/>
      <c r="F103" s="216"/>
      <c r="G103" s="216"/>
      <c r="H103" s="216"/>
      <c r="I103" s="216"/>
      <c r="J103" s="216"/>
      <c r="K103" s="216"/>
      <c r="L103" s="216"/>
    </row>
    <row r="104" spans="2:12" ht="16.5" thickBot="1">
      <c r="B104" s="216"/>
      <c r="C104" s="216"/>
      <c r="D104" s="216"/>
      <c r="E104" s="216"/>
      <c r="F104" s="216"/>
      <c r="G104" s="216"/>
      <c r="H104" s="216"/>
      <c r="I104" s="216"/>
      <c r="J104" s="216"/>
      <c r="K104" s="216"/>
      <c r="L104" s="216"/>
    </row>
    <row r="105" spans="2:12" ht="16.5" thickBot="1">
      <c r="B105" s="216"/>
      <c r="C105" s="216"/>
      <c r="D105" s="216"/>
      <c r="E105" s="216"/>
      <c r="F105" s="216"/>
      <c r="G105" s="216"/>
      <c r="H105" s="216"/>
      <c r="I105" s="216"/>
      <c r="J105" s="216"/>
      <c r="K105" s="216"/>
      <c r="L105" s="216"/>
    </row>
    <row r="106" spans="2:12" ht="16.5" thickBot="1">
      <c r="B106" s="216"/>
      <c r="C106" s="216"/>
      <c r="D106" s="216"/>
      <c r="E106" s="216"/>
      <c r="F106" s="216"/>
      <c r="G106" s="216"/>
      <c r="H106" s="216"/>
      <c r="I106" s="216"/>
      <c r="J106" s="216"/>
      <c r="K106" s="216"/>
      <c r="L106" s="216"/>
    </row>
    <row r="107" spans="2:12" ht="16.5" thickBot="1">
      <c r="B107" s="216"/>
      <c r="C107" s="216"/>
      <c r="D107" s="216"/>
      <c r="E107" s="216"/>
      <c r="F107" s="216"/>
      <c r="G107" s="216"/>
      <c r="H107" s="216"/>
      <c r="I107" s="216"/>
      <c r="J107" s="216"/>
      <c r="K107" s="216"/>
      <c r="L107" s="216"/>
    </row>
    <row r="108" spans="2:12" ht="16.5" thickBot="1">
      <c r="B108" s="216"/>
      <c r="C108" s="216"/>
      <c r="D108" s="216"/>
      <c r="E108" s="216"/>
      <c r="F108" s="216"/>
      <c r="G108" s="216"/>
      <c r="H108" s="216"/>
      <c r="I108" s="216"/>
      <c r="J108" s="216"/>
      <c r="K108" s="216"/>
      <c r="L108" s="216"/>
    </row>
    <row r="109" spans="2:12" ht="16.5" thickBot="1">
      <c r="B109" s="216"/>
      <c r="C109" s="216"/>
      <c r="D109" s="216"/>
      <c r="E109" s="216"/>
      <c r="F109" s="216"/>
      <c r="G109" s="216"/>
      <c r="H109" s="216"/>
      <c r="I109" s="216"/>
      <c r="J109" s="216"/>
      <c r="K109" s="216"/>
      <c r="L109" s="216"/>
    </row>
    <row r="110" spans="2:12" ht="16.5" thickBot="1">
      <c r="B110" s="216"/>
      <c r="C110" s="216"/>
      <c r="D110" s="216"/>
      <c r="E110" s="216"/>
      <c r="F110" s="216"/>
      <c r="G110" s="216"/>
      <c r="H110" s="216"/>
      <c r="I110" s="216"/>
      <c r="J110" s="216"/>
      <c r="K110" s="216"/>
      <c r="L110" s="216"/>
    </row>
    <row r="111" spans="2:12" ht="16.5" thickBot="1">
      <c r="B111" s="216"/>
      <c r="C111" s="216"/>
      <c r="D111" s="216"/>
      <c r="E111" s="216"/>
      <c r="F111" s="216"/>
      <c r="G111" s="216"/>
      <c r="H111" s="216"/>
      <c r="I111" s="216"/>
      <c r="J111" s="216"/>
      <c r="K111" s="216"/>
      <c r="L111" s="216"/>
    </row>
    <row r="112" spans="2:12" ht="16.5" thickBot="1">
      <c r="B112" s="216"/>
      <c r="C112" s="216"/>
      <c r="D112" s="216"/>
      <c r="E112" s="216"/>
      <c r="F112" s="216"/>
      <c r="G112" s="216"/>
      <c r="H112" s="216"/>
      <c r="I112" s="216"/>
      <c r="J112" s="216"/>
      <c r="K112" s="216"/>
      <c r="L112" s="216"/>
    </row>
    <row r="114" spans="2:17" ht="16.5" thickBot="1"/>
    <row r="115" spans="2:17" ht="16.5" thickBot="1">
      <c r="B115" s="244" t="s">
        <v>1396</v>
      </c>
      <c r="C115" s="244"/>
      <c r="D115" s="244"/>
      <c r="E115" s="244"/>
      <c r="F115" s="244"/>
      <c r="G115" s="244"/>
      <c r="H115" s="244" t="s">
        <v>1396</v>
      </c>
      <c r="I115" s="244"/>
      <c r="J115" s="244"/>
      <c r="K115" s="244"/>
      <c r="L115" s="244"/>
      <c r="M115" s="361"/>
      <c r="N115" s="361"/>
      <c r="O115" s="361"/>
      <c r="P115" s="361"/>
      <c r="Q115" s="361"/>
    </row>
    <row r="116" spans="2:17" ht="16.5" thickBot="1">
      <c r="B116" s="216"/>
      <c r="C116" s="216"/>
      <c r="D116" s="216"/>
      <c r="E116" s="216"/>
      <c r="F116" s="216"/>
      <c r="G116" s="216"/>
      <c r="H116" s="216"/>
      <c r="I116" s="216"/>
      <c r="J116" s="216"/>
      <c r="K116" s="216"/>
      <c r="L116" s="216"/>
      <c r="M116" s="359"/>
      <c r="N116" s="359"/>
      <c r="O116" s="359"/>
      <c r="P116" s="359"/>
      <c r="Q116" s="359"/>
    </row>
    <row r="117" spans="2:17" ht="16.5" thickBot="1">
      <c r="B117" s="216"/>
      <c r="C117" s="216"/>
      <c r="D117" s="216"/>
      <c r="E117" s="216"/>
      <c r="F117" s="216"/>
      <c r="G117" s="216"/>
      <c r="H117" s="216"/>
      <c r="I117" s="216"/>
      <c r="J117" s="216"/>
      <c r="K117" s="216"/>
      <c r="L117" s="216"/>
      <c r="M117" s="359"/>
      <c r="N117" s="359"/>
      <c r="O117" s="359"/>
      <c r="P117" s="359"/>
      <c r="Q117" s="359"/>
    </row>
    <row r="118" spans="2:17" ht="16.5" thickBot="1">
      <c r="B118" s="216"/>
      <c r="C118" s="216"/>
      <c r="D118" s="216"/>
      <c r="E118" s="216"/>
      <c r="F118" s="216"/>
      <c r="G118" s="216"/>
      <c r="H118" s="216"/>
      <c r="I118" s="216"/>
      <c r="J118" s="216"/>
      <c r="K118" s="216"/>
      <c r="L118" s="216"/>
      <c r="M118" s="359"/>
      <c r="N118" s="359"/>
      <c r="O118" s="359"/>
      <c r="P118" s="359"/>
      <c r="Q118" s="359"/>
    </row>
    <row r="119" spans="2:17" ht="16.5" thickBot="1">
      <c r="B119" s="216"/>
      <c r="C119" s="216"/>
      <c r="D119" s="216"/>
      <c r="E119" s="216"/>
      <c r="F119" s="216"/>
      <c r="G119" s="216"/>
      <c r="H119" s="216"/>
      <c r="I119" s="216"/>
      <c r="J119" s="216"/>
      <c r="K119" s="216"/>
      <c r="L119" s="216"/>
      <c r="M119" s="359"/>
      <c r="N119" s="359"/>
      <c r="O119" s="359"/>
      <c r="P119" s="359"/>
      <c r="Q119" s="359"/>
    </row>
    <row r="120" spans="2:17" ht="16.5" thickBot="1">
      <c r="B120" s="216"/>
      <c r="C120" s="216"/>
      <c r="D120" s="216"/>
      <c r="E120" s="216"/>
      <c r="F120" s="216"/>
      <c r="G120" s="216"/>
      <c r="H120" s="216"/>
      <c r="I120" s="216"/>
      <c r="J120" s="216"/>
      <c r="K120" s="216"/>
      <c r="L120" s="216"/>
      <c r="M120" s="359"/>
      <c r="N120" s="359"/>
      <c r="O120" s="359"/>
      <c r="P120" s="359"/>
      <c r="Q120" s="359"/>
    </row>
    <row r="121" spans="2:17" ht="16.5" thickBot="1">
      <c r="B121" s="216"/>
      <c r="C121" s="216"/>
      <c r="D121" s="216"/>
      <c r="E121" s="216"/>
      <c r="F121" s="216"/>
      <c r="G121" s="216"/>
      <c r="H121" s="216"/>
      <c r="I121" s="216"/>
      <c r="J121" s="216"/>
      <c r="K121" s="216"/>
      <c r="L121" s="216"/>
      <c r="M121" s="359"/>
      <c r="N121" s="359"/>
      <c r="O121" s="359"/>
      <c r="P121" s="359"/>
      <c r="Q121" s="359"/>
    </row>
    <row r="122" spans="2:17" ht="16.5" thickBot="1">
      <c r="B122" s="216"/>
      <c r="C122" s="216"/>
      <c r="D122" s="216"/>
      <c r="E122" s="216"/>
      <c r="F122" s="216"/>
      <c r="G122" s="216"/>
      <c r="H122" s="216"/>
      <c r="I122" s="216"/>
      <c r="J122" s="216"/>
      <c r="K122" s="216"/>
      <c r="L122" s="216"/>
      <c r="M122" s="359"/>
      <c r="N122" s="359"/>
      <c r="O122" s="359"/>
      <c r="P122" s="359"/>
      <c r="Q122" s="359"/>
    </row>
    <row r="123" spans="2:17" ht="16.5" thickBot="1">
      <c r="B123" s="216"/>
      <c r="C123" s="216"/>
      <c r="D123" s="216"/>
      <c r="E123" s="216"/>
      <c r="F123" s="216"/>
      <c r="G123" s="216"/>
      <c r="H123" s="216"/>
      <c r="I123" s="216"/>
      <c r="J123" s="216"/>
      <c r="K123" s="216"/>
      <c r="L123" s="216"/>
      <c r="M123" s="359"/>
      <c r="N123" s="359"/>
      <c r="O123" s="359"/>
      <c r="P123" s="359"/>
      <c r="Q123" s="359"/>
    </row>
    <row r="124" spans="2:17" ht="16.5" thickBot="1">
      <c r="B124" s="216"/>
      <c r="C124" s="216"/>
      <c r="D124" s="216"/>
      <c r="E124" s="216"/>
      <c r="F124" s="216"/>
      <c r="G124" s="216"/>
      <c r="H124" s="216"/>
      <c r="I124" s="216"/>
      <c r="J124" s="216"/>
      <c r="K124" s="216"/>
      <c r="L124" s="216"/>
      <c r="M124" s="359"/>
      <c r="N124" s="359"/>
      <c r="O124" s="359"/>
      <c r="P124" s="359"/>
      <c r="Q124" s="359"/>
    </row>
    <row r="125" spans="2:17" ht="16.5" thickBot="1">
      <c r="B125" s="216"/>
      <c r="C125" s="216"/>
      <c r="D125" s="216"/>
      <c r="E125" s="216"/>
      <c r="F125" s="216"/>
      <c r="G125" s="216"/>
      <c r="H125" s="216"/>
      <c r="I125" s="216"/>
      <c r="J125" s="216"/>
      <c r="K125" s="216"/>
      <c r="L125" s="216"/>
      <c r="M125" s="359"/>
      <c r="N125" s="359"/>
      <c r="O125" s="359"/>
      <c r="P125" s="359"/>
      <c r="Q125" s="359"/>
    </row>
    <row r="126" spans="2:17" ht="16.5" thickBot="1">
      <c r="B126" s="216"/>
      <c r="C126" s="216"/>
      <c r="D126" s="216"/>
      <c r="E126" s="216"/>
      <c r="F126" s="216"/>
      <c r="G126" s="216"/>
      <c r="H126" s="216"/>
      <c r="I126" s="216"/>
      <c r="J126" s="216"/>
      <c r="K126" s="216"/>
      <c r="L126" s="216"/>
      <c r="M126" s="359"/>
      <c r="N126" s="359"/>
      <c r="O126" s="359"/>
      <c r="P126" s="359"/>
      <c r="Q126" s="359"/>
    </row>
    <row r="127" spans="2:17" ht="16.5" thickBot="1">
      <c r="B127" s="216"/>
      <c r="C127" s="216"/>
      <c r="D127" s="216"/>
      <c r="E127" s="216"/>
      <c r="F127" s="216"/>
      <c r="G127" s="216"/>
      <c r="H127" s="216"/>
      <c r="I127" s="216"/>
      <c r="J127" s="216"/>
      <c r="K127" s="216"/>
      <c r="L127" s="216"/>
      <c r="M127" s="359"/>
      <c r="N127" s="359"/>
      <c r="O127" s="359"/>
      <c r="P127" s="359"/>
      <c r="Q127" s="359"/>
    </row>
    <row r="128" spans="2:17" ht="16.5" thickBot="1">
      <c r="B128" s="216"/>
      <c r="C128" s="216"/>
      <c r="D128" s="216"/>
      <c r="E128" s="216"/>
      <c r="F128" s="216"/>
      <c r="G128" s="216"/>
      <c r="H128" s="216"/>
      <c r="I128" s="216"/>
      <c r="J128" s="216"/>
      <c r="K128" s="216"/>
      <c r="L128" s="216"/>
      <c r="M128" s="359"/>
      <c r="N128" s="359"/>
      <c r="O128" s="359"/>
      <c r="P128" s="359"/>
      <c r="Q128" s="359"/>
    </row>
    <row r="130" spans="2:14" ht="16.5" thickBot="1"/>
    <row r="131" spans="2:14" ht="16.5" thickBot="1">
      <c r="B131" s="315" t="s">
        <v>1401</v>
      </c>
      <c r="C131" s="349"/>
      <c r="D131" s="349"/>
      <c r="E131" s="349"/>
      <c r="F131" s="349"/>
      <c r="G131" s="349"/>
      <c r="H131" s="349"/>
      <c r="I131" s="349"/>
      <c r="J131" s="349"/>
      <c r="K131" s="349"/>
      <c r="L131" s="349"/>
      <c r="M131" s="349"/>
      <c r="N131" s="316"/>
    </row>
    <row r="132" spans="2:14" ht="16.5" thickBot="1">
      <c r="B132" s="343" t="s">
        <v>892</v>
      </c>
      <c r="C132" s="343"/>
      <c r="D132" s="86" t="s">
        <v>893</v>
      </c>
      <c r="E132" s="86" t="s">
        <v>259</v>
      </c>
      <c r="F132" s="86" t="s">
        <v>778</v>
      </c>
      <c r="G132" s="86" t="s">
        <v>261</v>
      </c>
      <c r="H132" s="86" t="s">
        <v>894</v>
      </c>
      <c r="I132" s="86" t="s">
        <v>895</v>
      </c>
      <c r="J132" s="86" t="s">
        <v>896</v>
      </c>
      <c r="K132" s="86" t="s">
        <v>897</v>
      </c>
      <c r="L132" s="86" t="s">
        <v>898</v>
      </c>
      <c r="M132" s="86" t="s">
        <v>899</v>
      </c>
      <c r="N132" s="86" t="s">
        <v>900</v>
      </c>
    </row>
    <row r="133" spans="2:14" ht="16.5" thickBot="1">
      <c r="B133" s="343" t="s">
        <v>901</v>
      </c>
      <c r="C133" s="343"/>
      <c r="D133" s="87">
        <f>SUM(E133:N133)</f>
        <v>348191.54406815651</v>
      </c>
      <c r="E133" s="88">
        <f>'2.1. Energía estacionaria'!I139+'2.2. Transporte'!I151+'2.3. Residuos'!I83+'2.4. IPPU'!I99+'2.5. AFOLU'!I73</f>
        <v>9140.782953678583</v>
      </c>
      <c r="F133" s="88">
        <f>'2.1. Energía estacionaria'!J139+'2.2. Transporte'!J151+'2.3. Residuos'!J83+'2.4. IPPU'!J99+'2.5. AFOLU'!J73</f>
        <v>151403.94307898765</v>
      </c>
      <c r="G133" s="88">
        <f>'2.1. Energía estacionaria'!K139+'2.2. Transporte'!K151+'2.3. Residuos'!K83+'2.4. IPPU'!K99+'2.5. AFOLU'!K73</f>
        <v>2877.956002031744</v>
      </c>
      <c r="H133" s="88">
        <f>'2.4. IPPU'!L99</f>
        <v>0</v>
      </c>
      <c r="I133" s="88">
        <f>'2.4. IPPU'!M99</f>
        <v>5627.8181163633526</v>
      </c>
      <c r="J133" s="88">
        <f>'2.4. IPPU'!N99</f>
        <v>168010.30799999999</v>
      </c>
      <c r="K133" s="88">
        <f>'2.4. IPPU'!O99</f>
        <v>0</v>
      </c>
      <c r="L133" s="88">
        <f>'2.4. IPPU'!P99</f>
        <v>3243.6667316397888</v>
      </c>
      <c r="M133" s="88">
        <f>'2.4. IPPU'!Q99</f>
        <v>2686.3492096454529</v>
      </c>
      <c r="N133" s="88">
        <f>'2.4. IPPU'!R99</f>
        <v>5200.7199758099814</v>
      </c>
    </row>
    <row r="134" spans="2:14" ht="16.5" thickBot="1">
      <c r="B134" s="343" t="s">
        <v>902</v>
      </c>
      <c r="C134" s="343"/>
      <c r="D134" s="87">
        <f t="shared" ref="D134:D135" si="4">SUM(E134:N134)</f>
        <v>13654.880270988649</v>
      </c>
      <c r="E134" s="88">
        <f>'2.1. Energía estacionaria'!I140+'2.2. Transporte'!I152+'2.3. Residuos'!I84+'2.4. IPPU'!I100+'2.5. AFOLU'!I74</f>
        <v>0</v>
      </c>
      <c r="F134" s="88">
        <f>'2.1. Energía estacionaria'!J140+'2.2. Transporte'!J152+'2.3. Residuos'!J84+'2.4. IPPU'!J100+'2.5. AFOLU'!J74</f>
        <v>13654.880270988649</v>
      </c>
      <c r="G134" s="88">
        <f>'2.1. Energía estacionaria'!K140+'2.2. Transporte'!K152+'2.3. Residuos'!K84+'2.4. IPPU'!K100+'2.5. AFOLU'!K74</f>
        <v>0</v>
      </c>
      <c r="H134" s="88"/>
      <c r="I134" s="88"/>
      <c r="J134" s="88"/>
      <c r="K134" s="88"/>
      <c r="L134" s="88"/>
      <c r="M134" s="88"/>
      <c r="N134" s="88"/>
    </row>
    <row r="135" spans="2:14" ht="16.5" thickBot="1">
      <c r="B135" s="343" t="s">
        <v>903</v>
      </c>
      <c r="C135" s="343"/>
      <c r="D135" s="87">
        <f t="shared" si="4"/>
        <v>21093.147026963125</v>
      </c>
      <c r="E135" s="88">
        <f>'2.1. Energía estacionaria'!I141+'2.2. Transporte'!I153+'2.3. Residuos'!I85+'2.4. IPPU'!I101+'2.5. AFOLU'!I75</f>
        <v>9537.320428831983</v>
      </c>
      <c r="F135" s="88">
        <f>'2.1. Energía estacionaria'!J141+'2.2. Transporte'!J153+'2.3. Residuos'!J85+'2.4. IPPU'!J101+'2.5. AFOLU'!J75</f>
        <v>11192.768017342914</v>
      </c>
      <c r="G135" s="88">
        <f>'2.1. Energía estacionaria'!K141+'2.2. Transporte'!K153+'2.3. Residuos'!K85+'2.4. IPPU'!K101+'2.5. AFOLU'!K75</f>
        <v>363.05858078822706</v>
      </c>
      <c r="H135" s="88">
        <f>'[2]2.4. IPPU'!L61</f>
        <v>0</v>
      </c>
      <c r="I135" s="88">
        <f>'[2]2.4. IPPU'!M61</f>
        <v>0</v>
      </c>
      <c r="J135" s="88">
        <f>'[2]2.4. IPPU'!N61</f>
        <v>0</v>
      </c>
      <c r="K135" s="88">
        <f>'[2]2.4. IPPU'!O61</f>
        <v>0</v>
      </c>
      <c r="L135" s="88">
        <f>'[2]2.4. IPPU'!P61</f>
        <v>0</v>
      </c>
      <c r="M135" s="88">
        <f>'[2]2.4. IPPU'!Q61</f>
        <v>0</v>
      </c>
      <c r="N135" s="88">
        <f>'[2]2.4. IPPU'!R61</f>
        <v>0</v>
      </c>
    </row>
    <row r="136" spans="2:14" ht="16.5" thickBot="1">
      <c r="B136" s="315" t="s">
        <v>1402</v>
      </c>
      <c r="C136" s="316"/>
      <c r="D136" s="87">
        <f>SUM(D133:D135)</f>
        <v>382939.57136610826</v>
      </c>
      <c r="E136" s="87">
        <f t="shared" ref="E136:N136" si="5">SUM(E133:E135)</f>
        <v>18678.103382510566</v>
      </c>
      <c r="F136" s="87">
        <f t="shared" si="5"/>
        <v>176251.59136731923</v>
      </c>
      <c r="G136" s="87">
        <f t="shared" si="5"/>
        <v>3241.0145828199711</v>
      </c>
      <c r="H136" s="87">
        <f t="shared" si="5"/>
        <v>0</v>
      </c>
      <c r="I136" s="87">
        <f t="shared" si="5"/>
        <v>5627.8181163633526</v>
      </c>
      <c r="J136" s="87">
        <f t="shared" si="5"/>
        <v>168010.30799999999</v>
      </c>
      <c r="K136" s="87">
        <f t="shared" si="5"/>
        <v>0</v>
      </c>
      <c r="L136" s="87">
        <f t="shared" si="5"/>
        <v>3243.6667316397888</v>
      </c>
      <c r="M136" s="87">
        <f t="shared" si="5"/>
        <v>2686.3492096454529</v>
      </c>
      <c r="N136" s="87">
        <f t="shared" si="5"/>
        <v>5200.7199758099814</v>
      </c>
    </row>
    <row r="137" spans="2:14" ht="16.5" thickBot="1">
      <c r="B137" s="345" t="s">
        <v>904</v>
      </c>
      <c r="C137" s="345"/>
      <c r="D137" s="345"/>
      <c r="E137" s="346"/>
      <c r="F137" s="346"/>
      <c r="G137" s="346"/>
      <c r="H137" s="346"/>
      <c r="I137" s="346"/>
      <c r="J137" s="346"/>
      <c r="K137" s="346"/>
      <c r="L137" s="346"/>
      <c r="M137" s="346"/>
      <c r="N137" s="346"/>
    </row>
    <row r="138" spans="2:14" ht="16.5" thickBot="1">
      <c r="B138" s="345"/>
      <c r="C138" s="345"/>
      <c r="D138" s="345"/>
      <c r="E138" s="346"/>
      <c r="F138" s="346"/>
      <c r="G138" s="346"/>
      <c r="H138" s="346"/>
      <c r="I138" s="346"/>
      <c r="J138" s="346"/>
      <c r="K138" s="346"/>
      <c r="L138" s="346"/>
      <c r="M138" s="346"/>
      <c r="N138" s="346"/>
    </row>
    <row r="139" spans="2:14" ht="16.5" thickBot="1">
      <c r="B139" s="345" t="s">
        <v>905</v>
      </c>
      <c r="C139" s="345"/>
      <c r="D139" s="345"/>
      <c r="E139" s="347" t="s">
        <v>893</v>
      </c>
      <c r="F139" s="348">
        <f>SUM(H139:H140)</f>
        <v>1858654.7171856056</v>
      </c>
      <c r="G139" s="86" t="s">
        <v>906</v>
      </c>
      <c r="H139" s="88">
        <f>'2.1. Energía estacionaria'!L144+'2.2. Transporte'!L156+'2.3. Residuos'!L88+'2.4. IPPU'!L104+'2.5. AFOLU'!L78</f>
        <v>1858654.7171856056</v>
      </c>
      <c r="I139" s="346"/>
      <c r="J139" s="346"/>
      <c r="K139" s="346"/>
      <c r="L139" s="346"/>
      <c r="M139" s="346"/>
      <c r="N139" s="346"/>
    </row>
    <row r="140" spans="2:14" ht="16.5" thickBot="1">
      <c r="B140" s="345"/>
      <c r="C140" s="345"/>
      <c r="D140" s="345"/>
      <c r="E140" s="347"/>
      <c r="F140" s="348"/>
      <c r="G140" s="86" t="s">
        <v>907</v>
      </c>
      <c r="H140" s="88">
        <f>'2.1. Energía estacionaria'!L145+'2.2. Transporte'!L157+'2.3. Residuos'!L89+'2.4. IPPU'!L105+'2.5. AFOLU'!L79</f>
        <v>0</v>
      </c>
      <c r="I140" s="346"/>
      <c r="J140" s="346"/>
      <c r="K140" s="346"/>
      <c r="L140" s="346"/>
      <c r="M140" s="346"/>
      <c r="N140" s="346"/>
    </row>
    <row r="141" spans="2:14" ht="16.5" thickBot="1">
      <c r="B141" s="90"/>
      <c r="C141" s="90"/>
      <c r="D141" s="90"/>
      <c r="E141" s="90"/>
      <c r="F141" s="90"/>
      <c r="G141" s="90"/>
      <c r="H141" s="90"/>
      <c r="I141" s="90"/>
      <c r="J141" s="90"/>
      <c r="K141" s="90"/>
      <c r="L141" s="90"/>
      <c r="M141" s="90"/>
      <c r="N141" s="90"/>
    </row>
    <row r="142" spans="2:14" ht="16.5" thickBot="1">
      <c r="B142" s="344" t="s">
        <v>908</v>
      </c>
      <c r="C142" s="344"/>
      <c r="D142" s="87">
        <f>I35</f>
        <v>-300.25785455541427</v>
      </c>
      <c r="E142"/>
      <c r="F142"/>
      <c r="G142" s="90"/>
      <c r="H142" s="90"/>
      <c r="I142" s="90"/>
      <c r="J142" s="90"/>
      <c r="K142" s="90"/>
      <c r="L142" s="90"/>
      <c r="M142" s="90"/>
      <c r="N142" s="90"/>
    </row>
    <row r="143" spans="2:14" ht="16.5" thickBot="1">
      <c r="B143" s="344" t="s">
        <v>909</v>
      </c>
      <c r="C143" s="344"/>
      <c r="D143" s="91">
        <f>+SUM(D133:D135,D142)</f>
        <v>382639.31351155281</v>
      </c>
      <c r="E143" s="90"/>
      <c r="F143" s="90"/>
      <c r="G143" s="90"/>
      <c r="H143" s="90"/>
      <c r="I143" s="90"/>
      <c r="J143" s="90"/>
      <c r="K143" s="90"/>
      <c r="L143" s="90"/>
      <c r="M143" s="90"/>
      <c r="N143" s="90"/>
    </row>
    <row r="147" spans="5:9">
      <c r="E147" s="118"/>
      <c r="F147" s="118"/>
      <c r="G147" s="118"/>
      <c r="I147" s="118"/>
    </row>
    <row r="148" spans="5:9">
      <c r="E148" s="118"/>
      <c r="F148" s="118"/>
      <c r="G148" s="118"/>
    </row>
    <row r="149" spans="5:9">
      <c r="E149" s="118"/>
      <c r="F149" s="118"/>
      <c r="G149" s="118"/>
    </row>
    <row r="150" spans="5:9">
      <c r="E150" s="118"/>
    </row>
    <row r="151" spans="5:9">
      <c r="E151" s="187"/>
    </row>
    <row r="152" spans="5:9">
      <c r="E152" s="187"/>
    </row>
  </sheetData>
  <mergeCells count="74">
    <mergeCell ref="B35:H35"/>
    <mergeCell ref="B36:H36"/>
    <mergeCell ref="B34:H34"/>
    <mergeCell ref="B51:L51"/>
    <mergeCell ref="B67:L67"/>
    <mergeCell ref="B38:H38"/>
    <mergeCell ref="B39:H39"/>
    <mergeCell ref="B40:H40"/>
    <mergeCell ref="B83:L83"/>
    <mergeCell ref="M115:Q115"/>
    <mergeCell ref="B84:G96"/>
    <mergeCell ref="H84:L96"/>
    <mergeCell ref="B99:G99"/>
    <mergeCell ref="H99:L99"/>
    <mergeCell ref="B100:G112"/>
    <mergeCell ref="H100:L112"/>
    <mergeCell ref="B68:G80"/>
    <mergeCell ref="H68:L80"/>
    <mergeCell ref="B46:H46"/>
    <mergeCell ref="B47:H47"/>
    <mergeCell ref="B52:G64"/>
    <mergeCell ref="H52:L64"/>
    <mergeCell ref="M116:Q128"/>
    <mergeCell ref="B115:G115"/>
    <mergeCell ref="H115:L115"/>
    <mergeCell ref="B116:G128"/>
    <mergeCell ref="H116:L128"/>
    <mergeCell ref="B1:C1"/>
    <mergeCell ref="B42:H42"/>
    <mergeCell ref="B43:H43"/>
    <mergeCell ref="B44:H44"/>
    <mergeCell ref="B45:H45"/>
    <mergeCell ref="B33:H33"/>
    <mergeCell ref="B28:H28"/>
    <mergeCell ref="B25:H25"/>
    <mergeCell ref="B20:H20"/>
    <mergeCell ref="B26:H26"/>
    <mergeCell ref="B27:H27"/>
    <mergeCell ref="B29:H29"/>
    <mergeCell ref="B30:H30"/>
    <mergeCell ref="B31:H31"/>
    <mergeCell ref="B21:H21"/>
    <mergeCell ref="B22:H22"/>
    <mergeCell ref="B23:H23"/>
    <mergeCell ref="B24:H24"/>
    <mergeCell ref="B15:H15"/>
    <mergeCell ref="B16:H16"/>
    <mergeCell ref="B17:H17"/>
    <mergeCell ref="B18:H18"/>
    <mergeCell ref="B19:H19"/>
    <mergeCell ref="B5:H5"/>
    <mergeCell ref="B6:H6"/>
    <mergeCell ref="B7:H7"/>
    <mergeCell ref="B14:H14"/>
    <mergeCell ref="B8:H8"/>
    <mergeCell ref="B9:H9"/>
    <mergeCell ref="B10:H10"/>
    <mergeCell ref="B11:H11"/>
    <mergeCell ref="B12:H12"/>
    <mergeCell ref="B13:H13"/>
    <mergeCell ref="B131:N131"/>
    <mergeCell ref="B132:C132"/>
    <mergeCell ref="B133:C133"/>
    <mergeCell ref="B134:C134"/>
    <mergeCell ref="B135:C135"/>
    <mergeCell ref="B142:C142"/>
    <mergeCell ref="B143:C143"/>
    <mergeCell ref="B136:C136"/>
    <mergeCell ref="B137:D138"/>
    <mergeCell ref="E137:N138"/>
    <mergeCell ref="B139:D140"/>
    <mergeCell ref="E139:E140"/>
    <mergeCell ref="F139:F140"/>
    <mergeCell ref="I139:N140"/>
  </mergeCells>
  <hyperlinks>
    <hyperlink ref="B1:C1" location="'Información general'!A1" display="Inicio" xr:uid="{00000000-0004-0000-0900-000000000000}"/>
  </hyperlinks>
  <pageMargins left="0.7" right="0.7" top="0.75" bottom="0.75" header="0.3" footer="0.3"/>
  <pageSetup orientation="portrait" r:id="rId1"/>
  <drawing r:id="rId2"/>
  <legacyDrawing r:id="rId3"/>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571C81-0F42-4669-B83D-23A4ADCDC295}">
  <sheetPr>
    <tabColor theme="8"/>
  </sheetPr>
  <dimension ref="B1:J138"/>
  <sheetViews>
    <sheetView zoomScaleNormal="100" workbookViewId="0">
      <selection activeCell="D52" sqref="D52"/>
    </sheetView>
  </sheetViews>
  <sheetFormatPr defaultRowHeight="15"/>
  <cols>
    <col min="1" max="1" width="7.42578125" customWidth="1"/>
    <col min="2" max="2" width="25.7109375" customWidth="1"/>
    <col min="3" max="3" width="21.140625" customWidth="1"/>
    <col min="4" max="4" width="21.85546875" customWidth="1"/>
    <col min="5" max="5" width="21.28515625" customWidth="1"/>
    <col min="6" max="6" width="23.7109375" customWidth="1"/>
    <col min="7" max="7" width="19" customWidth="1"/>
    <col min="9" max="9" width="16.28515625" customWidth="1"/>
    <col min="10" max="10" width="13" customWidth="1"/>
  </cols>
  <sheetData>
    <row r="1" spans="2:9" ht="18.75">
      <c r="B1" s="379" t="s">
        <v>21</v>
      </c>
      <c r="C1" s="380"/>
    </row>
    <row r="3" spans="2:9" ht="19.5" thickBot="1">
      <c r="B3" s="62" t="s">
        <v>1403</v>
      </c>
      <c r="C3" s="76"/>
      <c r="D3" s="76"/>
      <c r="E3" s="76"/>
      <c r="F3" s="76"/>
      <c r="G3" s="76"/>
      <c r="H3" s="76"/>
      <c r="I3" s="76"/>
    </row>
    <row r="5" spans="2:9" ht="15.75">
      <c r="B5" s="381" t="s">
        <v>1404</v>
      </c>
      <c r="C5" s="381"/>
      <c r="D5" s="381"/>
      <c r="E5" s="381"/>
      <c r="F5" s="381"/>
    </row>
    <row r="7" spans="2:9" ht="15.75">
      <c r="B7" s="368" t="s">
        <v>1405</v>
      </c>
      <c r="C7" s="368"/>
      <c r="D7" s="368"/>
      <c r="E7" s="368"/>
    </row>
    <row r="8" spans="2:9" ht="15.75" thickBot="1"/>
    <row r="9" spans="2:9" ht="16.5" customHeight="1" thickBot="1">
      <c r="B9" s="382" t="s">
        <v>1406</v>
      </c>
      <c r="C9" s="383"/>
      <c r="D9" s="383"/>
      <c r="E9" s="383"/>
      <c r="F9" s="384"/>
    </row>
    <row r="10" spans="2:9" ht="16.5" customHeight="1" thickBot="1">
      <c r="B10" s="77" t="s">
        <v>1407</v>
      </c>
      <c r="C10" s="107" t="s">
        <v>1408</v>
      </c>
      <c r="D10" s="107" t="s">
        <v>1409</v>
      </c>
      <c r="E10" s="107" t="s">
        <v>1410</v>
      </c>
      <c r="F10" s="107" t="s">
        <v>1411</v>
      </c>
    </row>
    <row r="11" spans="2:9" ht="16.5" customHeight="1" thickBot="1">
      <c r="B11" s="96" t="s">
        <v>1412</v>
      </c>
      <c r="C11" s="96">
        <f>1356.605*1000</f>
        <v>1356605</v>
      </c>
      <c r="D11" s="96">
        <v>0</v>
      </c>
      <c r="E11" s="96">
        <v>0</v>
      </c>
      <c r="F11" s="96">
        <f>4599.483*1000</f>
        <v>4599483</v>
      </c>
    </row>
    <row r="12" spans="2:9" ht="15.75" thickBot="1">
      <c r="B12" s="96" t="s">
        <v>893</v>
      </c>
      <c r="C12" s="78">
        <f>SUM(C11:C11)-C52</f>
        <v>966268.64</v>
      </c>
      <c r="D12" s="97">
        <f>SUM(D11:D11)+SUM(E11:E11)</f>
        <v>0</v>
      </c>
      <c r="E12" s="98"/>
      <c r="F12" s="78">
        <f>SUM(F11:F11)</f>
        <v>4599483</v>
      </c>
    </row>
    <row r="15" spans="2:9" ht="15.75">
      <c r="B15" s="368" t="s">
        <v>1413</v>
      </c>
      <c r="C15" s="368"/>
    </row>
    <row r="16" spans="2:9" ht="15.75" thickBot="1"/>
    <row r="17" spans="2:10" ht="16.5" customHeight="1" thickBot="1">
      <c r="B17" s="377" t="s">
        <v>1414</v>
      </c>
      <c r="C17" s="378"/>
      <c r="D17" s="378"/>
      <c r="E17" s="378"/>
      <c r="F17" s="378"/>
      <c r="G17" s="378"/>
      <c r="I17" s="371" t="s">
        <v>1415</v>
      </c>
      <c r="J17" s="372"/>
    </row>
    <row r="18" spans="2:10" ht="32.25" thickBot="1">
      <c r="B18" s="77"/>
      <c r="C18" s="107" t="s">
        <v>1408</v>
      </c>
      <c r="D18" s="107" t="s">
        <v>1416</v>
      </c>
      <c r="E18" s="107" t="s">
        <v>1417</v>
      </c>
      <c r="F18" s="107" t="s">
        <v>1418</v>
      </c>
      <c r="G18" s="107" t="s">
        <v>1419</v>
      </c>
      <c r="I18" s="107" t="s">
        <v>1420</v>
      </c>
      <c r="J18" s="96">
        <v>213</v>
      </c>
    </row>
    <row r="19" spans="2:10" ht="16.5" thickBot="1">
      <c r="B19" s="96" t="s">
        <v>1421</v>
      </c>
      <c r="C19" s="96">
        <v>12.174503469066813</v>
      </c>
      <c r="D19" s="96">
        <v>9.806767289728711</v>
      </c>
      <c r="E19" s="96"/>
      <c r="F19" s="96">
        <v>38.068011641540025</v>
      </c>
      <c r="G19" s="96">
        <v>7.748667852525784E-2</v>
      </c>
      <c r="I19" s="107" t="s">
        <v>1422</v>
      </c>
      <c r="J19" s="96">
        <v>8734</v>
      </c>
    </row>
    <row r="20" spans="2:10" ht="26.25" thickBot="1">
      <c r="B20" s="158" t="s">
        <v>1423</v>
      </c>
      <c r="C20" s="78">
        <f>C19*J19</f>
        <v>106332.11329882954</v>
      </c>
      <c r="D20" s="78">
        <v>88242.781698966748</v>
      </c>
      <c r="E20" s="96"/>
      <c r="F20" s="78">
        <f>F19*J19</f>
        <v>332486.01367721061</v>
      </c>
      <c r="G20" s="78">
        <f>G19*J19</f>
        <v>676.76865023960193</v>
      </c>
    </row>
    <row r="22" spans="2:10" ht="15.75" thickBot="1"/>
    <row r="23" spans="2:10" ht="16.5" thickBot="1">
      <c r="B23" s="375" t="s">
        <v>1424</v>
      </c>
      <c r="C23" s="376"/>
      <c r="D23" s="376"/>
      <c r="E23" s="376"/>
      <c r="F23" s="376"/>
    </row>
    <row r="24" spans="2:10" ht="15.75" thickBot="1">
      <c r="B24" s="96" t="s">
        <v>1425</v>
      </c>
      <c r="C24" s="96">
        <v>13.773802816901409</v>
      </c>
      <c r="D24" s="96" t="s">
        <v>1426</v>
      </c>
      <c r="E24" s="96" t="s">
        <v>1427</v>
      </c>
      <c r="F24" s="96" t="s">
        <v>1428</v>
      </c>
    </row>
    <row r="25" spans="2:10" ht="26.25" thickBot="1">
      <c r="B25" s="158" t="s">
        <v>1429</v>
      </c>
      <c r="C25" s="96">
        <f>C24*J19</f>
        <v>120300.39380281691</v>
      </c>
      <c r="D25" s="96">
        <f>C25/(1*10^6)</f>
        <v>0.1203003938028169</v>
      </c>
      <c r="E25" s="96">
        <v>15.6</v>
      </c>
      <c r="F25" s="78">
        <f>D25*E25</f>
        <v>1.8766861433239437</v>
      </c>
    </row>
    <row r="27" spans="2:10" ht="15.75" thickBot="1"/>
    <row r="28" spans="2:10" ht="16.5" thickBot="1">
      <c r="B28" s="375" t="s">
        <v>1430</v>
      </c>
      <c r="C28" s="376"/>
      <c r="D28" s="376"/>
      <c r="E28" s="376"/>
    </row>
    <row r="29" spans="2:10" ht="26.25" thickBot="1">
      <c r="B29" s="158" t="s">
        <v>1431</v>
      </c>
      <c r="C29" s="96" t="s">
        <v>1426</v>
      </c>
      <c r="D29" s="96" t="s">
        <v>1427</v>
      </c>
      <c r="E29" s="96" t="s">
        <v>1428</v>
      </c>
    </row>
    <row r="30" spans="2:10" ht="15.75" thickBot="1">
      <c r="B30" s="96">
        <v>195946.08264000004</v>
      </c>
      <c r="C30" s="147">
        <f>B30*(1*10^(-6))</f>
        <v>0.19594608264000002</v>
      </c>
      <c r="D30" s="96">
        <v>50.4</v>
      </c>
      <c r="E30" s="78">
        <f>D30*C30</f>
        <v>9.8756825650560014</v>
      </c>
    </row>
    <row r="32" spans="2:10">
      <c r="E32" s="169"/>
    </row>
    <row r="33" spans="2:10" ht="15.75">
      <c r="B33" s="368" t="s">
        <v>1432</v>
      </c>
      <c r="C33" s="368"/>
    </row>
    <row r="34" spans="2:10" ht="15.75" thickBot="1"/>
    <row r="35" spans="2:10" ht="16.5" thickBot="1">
      <c r="B35" s="377" t="s">
        <v>1433</v>
      </c>
      <c r="C35" s="378"/>
      <c r="D35" s="378"/>
      <c r="E35" s="378"/>
      <c r="F35" s="378"/>
      <c r="G35" s="378"/>
      <c r="I35" s="371" t="s">
        <v>1415</v>
      </c>
      <c r="J35" s="372"/>
    </row>
    <row r="36" spans="2:10" ht="32.25" thickBot="1">
      <c r="B36" s="77"/>
      <c r="C36" s="107" t="s">
        <v>1408</v>
      </c>
      <c r="D36" s="107" t="s">
        <v>1416</v>
      </c>
      <c r="E36" s="107" t="s">
        <v>1417</v>
      </c>
      <c r="F36" s="107" t="s">
        <v>1418</v>
      </c>
      <c r="G36" s="107" t="s">
        <v>1419</v>
      </c>
      <c r="I36" s="107" t="s">
        <v>1420</v>
      </c>
      <c r="J36" s="96">
        <v>147</v>
      </c>
    </row>
    <row r="37" spans="2:10" ht="16.5" thickBot="1">
      <c r="B37" s="96" t="s">
        <v>1434</v>
      </c>
      <c r="C37" s="96">
        <f>121.566441+12.24489796+4.95424608</f>
        <v>138.76558503999999</v>
      </c>
      <c r="D37" s="96">
        <f>35.24+5.828+4.7313</f>
        <v>45.799300000000002</v>
      </c>
      <c r="E37" s="96">
        <v>0</v>
      </c>
      <c r="F37" s="96">
        <f>162.265+550.207</f>
        <v>712.47199999999998</v>
      </c>
      <c r="G37" s="96">
        <v>0.16592239014784943</v>
      </c>
      <c r="I37" s="107" t="s">
        <v>1422</v>
      </c>
      <c r="J37" s="96">
        <v>1040</v>
      </c>
    </row>
    <row r="38" spans="2:10" ht="26.25" thickBot="1">
      <c r="B38" s="158" t="s">
        <v>1423</v>
      </c>
      <c r="C38" s="78">
        <f>C37*J37</f>
        <v>144316.2084416</v>
      </c>
      <c r="D38" s="78">
        <f>11241.663+36654.357+4920.652</f>
        <v>52816.672000000006</v>
      </c>
      <c r="E38" s="96">
        <v>0</v>
      </c>
      <c r="F38" s="78">
        <f>F37*J37</f>
        <v>740970.88</v>
      </c>
      <c r="G38" s="78">
        <f>G37*J37</f>
        <v>172.55928575376342</v>
      </c>
    </row>
    <row r="40" spans="2:10" ht="15.75" thickBot="1"/>
    <row r="41" spans="2:10" ht="16.5" thickBot="1">
      <c r="B41" s="375" t="s">
        <v>1435</v>
      </c>
      <c r="C41" s="376"/>
      <c r="D41" s="376"/>
      <c r="E41" s="376"/>
      <c r="F41" s="376"/>
    </row>
    <row r="42" spans="2:10" ht="15.75" thickBot="1">
      <c r="B42" s="96" t="s">
        <v>1436</v>
      </c>
      <c r="C42" s="96">
        <v>3867.0462412813226</v>
      </c>
      <c r="D42" s="96" t="s">
        <v>1426</v>
      </c>
      <c r="E42" s="96" t="s">
        <v>1427</v>
      </c>
      <c r="F42" s="96" t="s">
        <v>1428</v>
      </c>
    </row>
    <row r="43" spans="2:10" ht="26.25" thickBot="1">
      <c r="B43" s="158" t="s">
        <v>1429</v>
      </c>
      <c r="C43" s="96">
        <f>C42*J37</f>
        <v>4021728.0909325755</v>
      </c>
      <c r="D43" s="96">
        <f>C43/(1*10^6)</f>
        <v>4.0217280909325757</v>
      </c>
      <c r="E43" s="96">
        <v>15.6</v>
      </c>
      <c r="F43" s="78">
        <f>D43*E43</f>
        <v>62.738958218548177</v>
      </c>
    </row>
    <row r="47" spans="2:10" ht="15.75">
      <c r="B47" s="368" t="s">
        <v>1437</v>
      </c>
      <c r="C47" s="368"/>
    </row>
    <row r="48" spans="2:10" ht="15.75" thickBot="1"/>
    <row r="49" spans="2:10" ht="16.5" thickBot="1">
      <c r="B49" s="377" t="s">
        <v>1438</v>
      </c>
      <c r="C49" s="378"/>
      <c r="D49" s="378"/>
      <c r="E49" s="378"/>
      <c r="F49" s="378"/>
      <c r="G49" s="378"/>
      <c r="I49" s="371" t="s">
        <v>1439</v>
      </c>
      <c r="J49" s="372"/>
    </row>
    <row r="50" spans="2:10" ht="32.25" thickBot="1">
      <c r="B50" s="77"/>
      <c r="C50" s="107" t="s">
        <v>1408</v>
      </c>
      <c r="D50" s="107" t="s">
        <v>1416</v>
      </c>
      <c r="E50" s="107" t="s">
        <v>1417</v>
      </c>
      <c r="F50" s="107" t="s">
        <v>1418</v>
      </c>
      <c r="G50" s="107" t="s">
        <v>1419</v>
      </c>
      <c r="I50" s="107" t="s">
        <v>1420</v>
      </c>
      <c r="J50" s="96">
        <v>28</v>
      </c>
    </row>
    <row r="51" spans="2:10" ht="16.5" thickBot="1">
      <c r="B51" s="96" t="s">
        <v>1440</v>
      </c>
      <c r="C51" s="96"/>
      <c r="D51" s="96">
        <f>3594.857+4.32</f>
        <v>3599.1770000000001</v>
      </c>
      <c r="E51" s="96"/>
      <c r="F51" s="96"/>
      <c r="G51" s="96">
        <v>9.5928571428568629E-2</v>
      </c>
      <c r="I51" s="107" t="s">
        <v>1422</v>
      </c>
      <c r="J51" s="96">
        <v>37</v>
      </c>
    </row>
    <row r="52" spans="2:10" ht="26.25" thickBot="1">
      <c r="B52" s="158" t="s">
        <v>1423</v>
      </c>
      <c r="C52" s="78">
        <f>346572.36+43764</f>
        <v>390336.36</v>
      </c>
      <c r="D52" s="78">
        <f>133009.71+36159.76</f>
        <v>169169.47</v>
      </c>
      <c r="E52" s="78">
        <v>24357657.581999999</v>
      </c>
      <c r="F52" s="78">
        <f>974091.44+562680</f>
        <v>1536771.44</v>
      </c>
      <c r="G52" s="78">
        <v>1683.5493571428569</v>
      </c>
    </row>
    <row r="54" spans="2:10" ht="15.75" thickBot="1"/>
    <row r="55" spans="2:10" ht="16.5" thickBot="1">
      <c r="B55" s="375" t="s">
        <v>1441</v>
      </c>
      <c r="C55" s="376"/>
      <c r="D55" s="376"/>
      <c r="E55" s="376"/>
      <c r="F55" s="376"/>
    </row>
    <row r="56" spans="2:10" ht="15.75" thickBot="1">
      <c r="B56" s="96" t="s">
        <v>1442</v>
      </c>
      <c r="C56" s="96"/>
      <c r="D56" s="96" t="s">
        <v>1426</v>
      </c>
      <c r="E56" s="96" t="s">
        <v>1427</v>
      </c>
      <c r="F56" s="96" t="s">
        <v>1428</v>
      </c>
    </row>
    <row r="57" spans="2:10" ht="26.25" thickBot="1">
      <c r="B57" s="158" t="s">
        <v>1429</v>
      </c>
      <c r="C57" s="96">
        <v>8127600</v>
      </c>
      <c r="D57" s="96">
        <f>C57/(1*10^6)</f>
        <v>8.1275999999999993</v>
      </c>
      <c r="E57" s="96">
        <v>15.6</v>
      </c>
      <c r="F57" s="78">
        <f>D57*E57</f>
        <v>126.79055999999999</v>
      </c>
    </row>
    <row r="59" spans="2:10" ht="15.75" thickBot="1"/>
    <row r="60" spans="2:10" ht="16.5" thickBot="1">
      <c r="B60" s="375" t="s">
        <v>1443</v>
      </c>
      <c r="C60" s="376"/>
      <c r="D60" s="376"/>
      <c r="E60" s="376"/>
    </row>
    <row r="61" spans="2:10" ht="26.25" thickBot="1">
      <c r="B61" s="158" t="s">
        <v>1431</v>
      </c>
      <c r="C61" s="96" t="s">
        <v>1426</v>
      </c>
      <c r="D61" s="96" t="s">
        <v>1427</v>
      </c>
      <c r="E61" s="96" t="s">
        <v>1428</v>
      </c>
    </row>
    <row r="62" spans="2:10" ht="15.75" thickBot="1">
      <c r="B62" s="96">
        <v>665880576.10676992</v>
      </c>
      <c r="C62" s="147">
        <f>B62*(1*10^(-6))</f>
        <v>665.88057610676992</v>
      </c>
      <c r="D62" s="96">
        <v>50.4</v>
      </c>
      <c r="E62" s="78">
        <f>D62*C62</f>
        <v>33560.381035781204</v>
      </c>
    </row>
    <row r="65" spans="2:10" ht="15.75">
      <c r="B65" s="368" t="s">
        <v>1444</v>
      </c>
      <c r="C65" s="368"/>
    </row>
    <row r="66" spans="2:10" ht="15.75" thickBot="1"/>
    <row r="67" spans="2:10" ht="16.5" thickBot="1">
      <c r="B67" s="377" t="s">
        <v>1445</v>
      </c>
      <c r="C67" s="378"/>
      <c r="D67" s="378"/>
      <c r="E67" s="378"/>
      <c r="F67" s="378"/>
      <c r="G67" s="378"/>
      <c r="I67" s="371" t="s">
        <v>1446</v>
      </c>
      <c r="J67" s="372"/>
    </row>
    <row r="68" spans="2:10" ht="32.25" thickBot="1">
      <c r="B68" s="77"/>
      <c r="C68" s="107" t="s">
        <v>1408</v>
      </c>
      <c r="D68" s="107" t="s">
        <v>1416</v>
      </c>
      <c r="E68" s="107" t="s">
        <v>1417</v>
      </c>
      <c r="F68" s="107" t="s">
        <v>1418</v>
      </c>
      <c r="G68" s="107" t="s">
        <v>1419</v>
      </c>
      <c r="I68" s="107" t="s">
        <v>1420</v>
      </c>
      <c r="J68" s="96">
        <v>21</v>
      </c>
    </row>
    <row r="69" spans="2:10" ht="16.5" thickBot="1">
      <c r="B69" s="96" t="s">
        <v>1447</v>
      </c>
      <c r="C69" s="96">
        <v>59.450952963804852</v>
      </c>
      <c r="D69" s="96">
        <f>16.45+44.32+58.07</f>
        <v>118.84</v>
      </c>
      <c r="E69" s="96">
        <v>0</v>
      </c>
      <c r="F69" s="96">
        <v>0</v>
      </c>
      <c r="G69" s="96">
        <v>1.5393950434045263</v>
      </c>
      <c r="I69" s="107" t="s">
        <v>1422</v>
      </c>
      <c r="J69" s="96">
        <v>30</v>
      </c>
    </row>
    <row r="70" spans="2:10" ht="26.25" thickBot="1">
      <c r="B70" s="158" t="s">
        <v>1423</v>
      </c>
      <c r="C70" s="78">
        <f>C69*J69</f>
        <v>1783.5285889141455</v>
      </c>
      <c r="D70" s="78">
        <f>D69*J69</f>
        <v>3565.2000000000003</v>
      </c>
      <c r="E70" s="96">
        <v>0</v>
      </c>
      <c r="F70" s="96">
        <v>0</v>
      </c>
      <c r="G70" s="78">
        <f>G69*J69</f>
        <v>46.18185130213579</v>
      </c>
    </row>
    <row r="72" spans="2:10" ht="15.75" thickBot="1"/>
    <row r="73" spans="2:10" ht="16.5" thickBot="1">
      <c r="B73" s="375" t="s">
        <v>1448</v>
      </c>
      <c r="C73" s="376"/>
      <c r="D73" s="376"/>
      <c r="E73" s="376"/>
      <c r="F73" s="376"/>
    </row>
    <row r="74" spans="2:10" ht="15.75" thickBot="1">
      <c r="B74" s="96" t="s">
        <v>1449</v>
      </c>
      <c r="C74" s="96">
        <v>948</v>
      </c>
      <c r="D74" s="96" t="s">
        <v>1426</v>
      </c>
      <c r="E74" s="96" t="s">
        <v>1427</v>
      </c>
      <c r="F74" s="96" t="s">
        <v>1428</v>
      </c>
    </row>
    <row r="75" spans="2:10" ht="26.25" thickBot="1">
      <c r="B75" s="158" t="s">
        <v>1429</v>
      </c>
      <c r="C75" s="96">
        <f>C74*J69</f>
        <v>28440</v>
      </c>
      <c r="D75" s="96">
        <f>C75/(1*10^6)</f>
        <v>2.844E-2</v>
      </c>
      <c r="E75" s="96">
        <v>15.6</v>
      </c>
      <c r="F75" s="78">
        <f>D75*E75</f>
        <v>0.443664</v>
      </c>
    </row>
    <row r="77" spans="2:10" ht="15.75" thickBot="1"/>
    <row r="78" spans="2:10" ht="16.5" thickBot="1">
      <c r="B78" s="375" t="s">
        <v>1443</v>
      </c>
      <c r="C78" s="376"/>
      <c r="D78" s="376"/>
      <c r="E78" s="376"/>
    </row>
    <row r="79" spans="2:10" ht="26.25" thickBot="1">
      <c r="B79" s="158" t="s">
        <v>1431</v>
      </c>
      <c r="C79" s="96" t="s">
        <v>1426</v>
      </c>
      <c r="D79" s="96" t="s">
        <v>1427</v>
      </c>
      <c r="E79" s="96" t="s">
        <v>1428</v>
      </c>
    </row>
    <row r="80" spans="2:10" ht="15.75" thickBot="1">
      <c r="B80" s="96">
        <v>740570.61698719079</v>
      </c>
      <c r="C80" s="147">
        <f>B80*(1*10^(-6))</f>
        <v>0.74057061698719073</v>
      </c>
      <c r="D80" s="96">
        <v>50.4</v>
      </c>
      <c r="E80" s="78">
        <f>D80*C80</f>
        <v>37.324759096154409</v>
      </c>
    </row>
    <row r="84" spans="2:7" ht="15.75">
      <c r="B84" s="381" t="s">
        <v>1450</v>
      </c>
      <c r="C84" s="381"/>
      <c r="D84" s="381"/>
      <c r="E84" s="381"/>
      <c r="F84" s="381"/>
      <c r="G84" s="381"/>
    </row>
    <row r="86" spans="2:7" ht="15.75">
      <c r="B86" s="368" t="s">
        <v>1451</v>
      </c>
      <c r="C86" s="368"/>
      <c r="D86" s="368"/>
    </row>
    <row r="87" spans="2:7" ht="15.75" thickBot="1"/>
    <row r="88" spans="2:7" ht="15.75" thickBot="1">
      <c r="B88" s="375" t="s">
        <v>1452</v>
      </c>
      <c r="C88" s="376" t="s">
        <v>1453</v>
      </c>
    </row>
    <row r="89" spans="2:7" ht="16.5" thickBot="1">
      <c r="B89" s="77" t="s">
        <v>1454</v>
      </c>
      <c r="C89" s="77" t="s">
        <v>1455</v>
      </c>
    </row>
    <row r="90" spans="2:7" ht="16.5" thickBot="1">
      <c r="B90" s="144" t="s">
        <v>1456</v>
      </c>
      <c r="C90" s="78">
        <f>30820993-C100</f>
        <v>30764075.458332334</v>
      </c>
      <c r="D90" s="208"/>
    </row>
    <row r="91" spans="2:7" ht="16.5" thickBot="1">
      <c r="B91" s="144" t="s">
        <v>1457</v>
      </c>
      <c r="C91" s="78">
        <v>66178670</v>
      </c>
      <c r="D91" s="208"/>
    </row>
    <row r="92" spans="2:7" ht="16.5" thickBot="1">
      <c r="B92" s="144" t="s">
        <v>1458</v>
      </c>
      <c r="C92" s="78">
        <v>149900966</v>
      </c>
      <c r="D92" s="208"/>
    </row>
    <row r="93" spans="2:7" ht="16.5" thickBot="1">
      <c r="B93" s="155" t="s">
        <v>893</v>
      </c>
      <c r="C93" s="156">
        <f>SUM(C90:C92)+C100</f>
        <v>246900629</v>
      </c>
      <c r="D93" s="208"/>
    </row>
    <row r="94" spans="2:7">
      <c r="D94" s="209"/>
    </row>
    <row r="95" spans="2:7">
      <c r="E95" s="152"/>
    </row>
    <row r="96" spans="2:7" ht="15.75">
      <c r="B96" s="368" t="s">
        <v>1444</v>
      </c>
      <c r="C96" s="368"/>
    </row>
    <row r="97" spans="2:8" ht="15.75" thickBot="1"/>
    <row r="98" spans="2:8" ht="15.75" thickBot="1">
      <c r="B98" s="375" t="s">
        <v>1452</v>
      </c>
      <c r="C98" s="376" t="s">
        <v>1453</v>
      </c>
    </row>
    <row r="99" spans="2:8" ht="16.5" thickBot="1">
      <c r="B99" s="77" t="s">
        <v>1454</v>
      </c>
      <c r="C99" s="77" t="s">
        <v>1455</v>
      </c>
    </row>
    <row r="100" spans="2:8" ht="16.5" thickBot="1">
      <c r="B100" s="144" t="s">
        <v>1459</v>
      </c>
      <c r="C100" s="78">
        <v>56917.541667665901</v>
      </c>
    </row>
    <row r="103" spans="2:8" ht="15.75">
      <c r="B103" s="368" t="s">
        <v>1460</v>
      </c>
      <c r="C103" s="368"/>
    </row>
    <row r="104" spans="2:8" ht="15.75" thickBot="1"/>
    <row r="105" spans="2:8" ht="15.75" thickBot="1">
      <c r="B105" s="375" t="s">
        <v>1461</v>
      </c>
      <c r="C105" s="376" t="s">
        <v>1453</v>
      </c>
    </row>
    <row r="106" spans="2:8" ht="16.5" thickBot="1">
      <c r="B106" s="77" t="s">
        <v>1454</v>
      </c>
      <c r="C106" s="77" t="s">
        <v>1455</v>
      </c>
    </row>
    <row r="107" spans="2:8" ht="16.5" thickBot="1">
      <c r="B107" s="144" t="s">
        <v>1462</v>
      </c>
      <c r="C107" s="78">
        <v>94448904</v>
      </c>
    </row>
    <row r="111" spans="2:8" ht="15.75">
      <c r="B111" s="381" t="s">
        <v>1463</v>
      </c>
      <c r="C111" s="381"/>
      <c r="D111" s="381"/>
      <c r="E111" s="381"/>
      <c r="F111" s="381"/>
      <c r="G111" s="381"/>
      <c r="H111" s="381"/>
    </row>
    <row r="113" spans="2:6" ht="15.75">
      <c r="B113" s="368" t="s">
        <v>1451</v>
      </c>
      <c r="C113" s="368"/>
      <c r="D113" s="368"/>
    </row>
    <row r="115" spans="2:6" ht="15.75" thickBot="1">
      <c r="B115" s="369" t="s">
        <v>1464</v>
      </c>
      <c r="C115" s="370"/>
      <c r="D115" s="370"/>
      <c r="E115" s="370"/>
      <c r="F115" s="370"/>
    </row>
    <row r="116" spans="2:6" ht="15.75" thickBot="1">
      <c r="B116" s="157" t="s">
        <v>1465</v>
      </c>
      <c r="C116" s="371" t="s">
        <v>1466</v>
      </c>
      <c r="D116" s="372"/>
      <c r="E116" s="157" t="s">
        <v>1467</v>
      </c>
      <c r="F116" s="157" t="s">
        <v>777</v>
      </c>
    </row>
    <row r="117" spans="2:6" ht="16.5" thickBot="1">
      <c r="B117" s="144" t="s">
        <v>1456</v>
      </c>
      <c r="C117" s="385">
        <v>9.9500000000000005E-2</v>
      </c>
      <c r="D117" s="386"/>
      <c r="E117" s="78">
        <f>C90*C117</f>
        <v>3061025.5081040673</v>
      </c>
      <c r="F117" s="391" t="s">
        <v>815</v>
      </c>
    </row>
    <row r="118" spans="2:6" ht="16.5" thickBot="1">
      <c r="B118" s="144" t="s">
        <v>1457</v>
      </c>
      <c r="C118" s="387"/>
      <c r="D118" s="388"/>
      <c r="E118" s="78">
        <f>C91*C117</f>
        <v>6584777.665</v>
      </c>
      <c r="F118" s="392"/>
    </row>
    <row r="119" spans="2:6" ht="16.5" thickBot="1">
      <c r="B119" s="144" t="s">
        <v>1458</v>
      </c>
      <c r="C119" s="389"/>
      <c r="D119" s="390"/>
      <c r="E119" s="78">
        <f>C92*C117</f>
        <v>14915146.117000001</v>
      </c>
      <c r="F119" s="393"/>
    </row>
    <row r="120" spans="2:6" ht="16.5" thickBot="1">
      <c r="D120" s="155" t="s">
        <v>893</v>
      </c>
      <c r="E120" s="156">
        <f>SUBTOTAL(109,E117:E119)</f>
        <v>24560949.290104069</v>
      </c>
    </row>
    <row r="122" spans="2:6">
      <c r="F122" s="152"/>
    </row>
    <row r="124" spans="2:6" ht="15.75">
      <c r="B124" s="368" t="s">
        <v>1451</v>
      </c>
      <c r="C124" s="368"/>
    </row>
    <row r="126" spans="2:6" ht="15.75" thickBot="1">
      <c r="B126" s="369" t="s">
        <v>1468</v>
      </c>
      <c r="C126" s="370"/>
      <c r="D126" s="370"/>
      <c r="E126" s="370"/>
      <c r="F126" s="370"/>
    </row>
    <row r="127" spans="2:6" ht="15.75" thickBot="1">
      <c r="B127" s="157" t="s">
        <v>1465</v>
      </c>
      <c r="C127" s="371" t="s">
        <v>1466</v>
      </c>
      <c r="D127" s="372"/>
      <c r="E127" s="157" t="s">
        <v>1467</v>
      </c>
      <c r="F127" s="157" t="s">
        <v>777</v>
      </c>
    </row>
    <row r="128" spans="2:6" ht="16.5" thickBot="1">
      <c r="B128" s="144" t="str">
        <f>B100</f>
        <v>Residencial CNFL</v>
      </c>
      <c r="C128" s="373">
        <f>C117</f>
        <v>9.9500000000000005E-2</v>
      </c>
      <c r="D128" s="374"/>
      <c r="E128" s="78">
        <f>C100*C128</f>
        <v>5663.2953959327569</v>
      </c>
      <c r="F128" s="96" t="s">
        <v>815</v>
      </c>
    </row>
    <row r="129" spans="2:6" ht="16.5" thickBot="1">
      <c r="D129" s="155" t="s">
        <v>893</v>
      </c>
      <c r="E129" s="156">
        <f>SUBTOTAL(109,E128:E128)</f>
        <v>5663.2953959327569</v>
      </c>
    </row>
    <row r="133" spans="2:6" ht="15.75">
      <c r="B133" s="368" t="s">
        <v>1469</v>
      </c>
      <c r="C133" s="368"/>
    </row>
    <row r="135" spans="2:6" ht="15.75" thickBot="1">
      <c r="B135" s="369" t="s">
        <v>1468</v>
      </c>
      <c r="C135" s="370"/>
      <c r="D135" s="370"/>
      <c r="E135" s="370"/>
      <c r="F135" s="370"/>
    </row>
    <row r="136" spans="2:6" ht="15.75" thickBot="1">
      <c r="B136" s="157" t="s">
        <v>1465</v>
      </c>
      <c r="C136" s="371" t="s">
        <v>1466</v>
      </c>
      <c r="D136" s="372"/>
      <c r="E136" s="157" t="s">
        <v>1467</v>
      </c>
      <c r="F136" s="157" t="s">
        <v>777</v>
      </c>
    </row>
    <row r="137" spans="2:6" ht="16.5" thickBot="1">
      <c r="B137" s="144" t="str">
        <f>B107</f>
        <v>Preferencial ICE</v>
      </c>
      <c r="C137" s="373">
        <v>7.9000000000000001E-2</v>
      </c>
      <c r="D137" s="374"/>
      <c r="E137" s="78">
        <f>C107*C137</f>
        <v>7461463.4160000002</v>
      </c>
      <c r="F137" s="96" t="s">
        <v>815</v>
      </c>
    </row>
    <row r="138" spans="2:6" ht="16.5" thickBot="1">
      <c r="D138" s="155" t="s">
        <v>893</v>
      </c>
      <c r="E138" s="156">
        <f>SUBTOTAL(109,E137:E137)</f>
        <v>7461463.4160000002</v>
      </c>
    </row>
  </sheetData>
  <mergeCells count="44">
    <mergeCell ref="B113:D113"/>
    <mergeCell ref="B111:H111"/>
    <mergeCell ref="B103:C103"/>
    <mergeCell ref="B105:C105"/>
    <mergeCell ref="B126:F126"/>
    <mergeCell ref="C127:D127"/>
    <mergeCell ref="C128:D128"/>
    <mergeCell ref="B124:C124"/>
    <mergeCell ref="B115:F115"/>
    <mergeCell ref="C116:D116"/>
    <mergeCell ref="C117:D119"/>
    <mergeCell ref="F117:F119"/>
    <mergeCell ref="B1:C1"/>
    <mergeCell ref="B5:F5"/>
    <mergeCell ref="I35:J35"/>
    <mergeCell ref="B84:G84"/>
    <mergeCell ref="I49:J49"/>
    <mergeCell ref="B60:E60"/>
    <mergeCell ref="B65:C65"/>
    <mergeCell ref="B67:G67"/>
    <mergeCell ref="I67:J67"/>
    <mergeCell ref="B73:F73"/>
    <mergeCell ref="B78:E78"/>
    <mergeCell ref="B7:E7"/>
    <mergeCell ref="B9:F9"/>
    <mergeCell ref="B15:C15"/>
    <mergeCell ref="B17:G17"/>
    <mergeCell ref="B23:F23"/>
    <mergeCell ref="B133:C133"/>
    <mergeCell ref="B135:F135"/>
    <mergeCell ref="C136:D136"/>
    <mergeCell ref="C137:D137"/>
    <mergeCell ref="I17:J17"/>
    <mergeCell ref="B86:D86"/>
    <mergeCell ref="B88:C88"/>
    <mergeCell ref="B28:E28"/>
    <mergeCell ref="B33:C33"/>
    <mergeCell ref="B35:G35"/>
    <mergeCell ref="B41:F41"/>
    <mergeCell ref="B47:C47"/>
    <mergeCell ref="B49:G49"/>
    <mergeCell ref="B55:F55"/>
    <mergeCell ref="B96:C96"/>
    <mergeCell ref="B98:C98"/>
  </mergeCells>
  <pageMargins left="0.7" right="0.7" top="0.75" bottom="0.75" header="0.3" footer="0.3"/>
  <legacy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C2D308-02D1-439F-B34E-3DA45C88E12C}">
  <sheetPr>
    <tabColor theme="8"/>
  </sheetPr>
  <dimension ref="B1:K237"/>
  <sheetViews>
    <sheetView topLeftCell="A28" zoomScaleNormal="100" workbookViewId="0">
      <selection activeCell="G55" sqref="G55"/>
    </sheetView>
  </sheetViews>
  <sheetFormatPr defaultRowHeight="15"/>
  <cols>
    <col min="2" max="2" width="29.28515625" customWidth="1"/>
    <col min="3" max="3" width="28.5703125" customWidth="1"/>
    <col min="4" max="4" width="27.42578125" customWidth="1"/>
    <col min="5" max="5" width="20.5703125" customWidth="1"/>
    <col min="6" max="6" width="27" customWidth="1"/>
    <col min="7" max="7" width="22" customWidth="1"/>
    <col min="8" max="8" width="21.28515625" customWidth="1"/>
    <col min="9" max="9" width="25.7109375" customWidth="1"/>
    <col min="10" max="10" width="18.42578125" customWidth="1"/>
    <col min="11" max="11" width="24.28515625" customWidth="1"/>
  </cols>
  <sheetData>
    <row r="1" spans="2:7" ht="18.75">
      <c r="B1" s="379" t="s">
        <v>21</v>
      </c>
      <c r="C1" s="380"/>
    </row>
    <row r="3" spans="2:7" ht="19.5" thickBot="1">
      <c r="B3" s="62" t="s">
        <v>1470</v>
      </c>
      <c r="C3" s="76"/>
      <c r="D3" s="76"/>
      <c r="E3" s="76"/>
      <c r="F3" s="76"/>
      <c r="G3" s="76"/>
    </row>
    <row r="5" spans="2:7" ht="15.75">
      <c r="B5" s="381" t="s">
        <v>1471</v>
      </c>
      <c r="C5" s="381"/>
      <c r="D5" s="381"/>
      <c r="E5" s="381"/>
      <c r="F5" s="381"/>
      <c r="G5" s="381"/>
    </row>
    <row r="7" spans="2:7" ht="15.75">
      <c r="B7" s="368" t="s">
        <v>1405</v>
      </c>
      <c r="C7" s="368"/>
      <c r="D7" s="368"/>
      <c r="E7" s="368"/>
    </row>
    <row r="8" spans="2:7" ht="15.75" thickBot="1"/>
    <row r="9" spans="2:7" ht="16.5" customHeight="1" thickBot="1">
      <c r="B9" s="382" t="s">
        <v>1472</v>
      </c>
      <c r="C9" s="383"/>
      <c r="D9" s="383"/>
      <c r="E9" s="383"/>
      <c r="F9" s="384"/>
    </row>
    <row r="10" spans="2:7" ht="16.5" thickBot="1">
      <c r="B10" s="77" t="s">
        <v>1407</v>
      </c>
      <c r="C10" s="107" t="s">
        <v>1408</v>
      </c>
      <c r="D10" s="107" t="s">
        <v>1409</v>
      </c>
      <c r="E10" s="107" t="s">
        <v>1410</v>
      </c>
      <c r="F10" s="107" t="s">
        <v>1411</v>
      </c>
    </row>
    <row r="11" spans="2:7" ht="15.75" thickBot="1">
      <c r="B11" s="96" t="s">
        <v>1473</v>
      </c>
      <c r="C11" s="96">
        <f>8340.737*1000</f>
        <v>8340736.9999999991</v>
      </c>
      <c r="D11" s="96">
        <f>4071.558*1000</f>
        <v>4071558</v>
      </c>
      <c r="E11" s="96">
        <f>5615.581*1000</f>
        <v>5615581</v>
      </c>
      <c r="F11" s="96">
        <f>0*1000</f>
        <v>0</v>
      </c>
    </row>
    <row r="12" spans="2:7" ht="15.75" thickBot="1">
      <c r="B12" s="96" t="s">
        <v>1474</v>
      </c>
      <c r="C12" s="96">
        <f>3438.085*1000</f>
        <v>3438085</v>
      </c>
      <c r="D12" s="96">
        <v>0</v>
      </c>
      <c r="E12" s="96">
        <v>0</v>
      </c>
      <c r="F12" s="96">
        <v>0</v>
      </c>
    </row>
    <row r="13" spans="2:7" ht="15.75" thickBot="1">
      <c r="B13" s="96" t="s">
        <v>1475</v>
      </c>
      <c r="C13" s="96">
        <f>247.98*1000</f>
        <v>247980</v>
      </c>
      <c r="D13" s="96">
        <v>0</v>
      </c>
      <c r="E13" s="96">
        <v>0</v>
      </c>
      <c r="F13" s="96">
        <v>0</v>
      </c>
    </row>
    <row r="14" spans="2:7" ht="15.75" thickBot="1">
      <c r="B14" s="96" t="s">
        <v>893</v>
      </c>
      <c r="C14" s="78">
        <f>SUM(C11:C13)-'4.1. ANEXOS Energía'!C20-D76-F86-K95-C21-'4.1. ANEXOS Energía'!C38-C28-C32-C36-'4.1. ANEXOS Energía'!C52-C43-C47-C51-'4.1. ANEXOS Energía'!C70-C62-B113</f>
        <v>6763128.8617162043</v>
      </c>
      <c r="D14" s="97">
        <f>(SUM(D11:D13)+SUM(E11:E13))-'4.1. ANEXOS Energía'!D20-D21-'4.1. ANEXOS Energía'!D38-D28-D32-D36-'4.1. ANEXOS Energía'!D52-D43-D47-D51-'4.1. ANEXOS Energía'!D70-D66</f>
        <v>4899420.5835337192</v>
      </c>
      <c r="E14" s="98"/>
      <c r="F14" s="78">
        <f>SUM(F11:F13)</f>
        <v>0</v>
      </c>
    </row>
    <row r="17" spans="2:5" ht="15.75">
      <c r="B17" s="368" t="s">
        <v>1413</v>
      </c>
      <c r="C17" s="368"/>
      <c r="D17" s="368"/>
      <c r="E17" s="368"/>
    </row>
    <row r="19" spans="2:5" ht="16.5" thickBot="1">
      <c r="B19" s="377" t="s">
        <v>1476</v>
      </c>
      <c r="C19" s="378"/>
      <c r="D19" s="378"/>
      <c r="E19" s="378"/>
    </row>
    <row r="20" spans="2:5" ht="16.5" thickBot="1">
      <c r="B20" s="77"/>
      <c r="C20" s="107" t="s">
        <v>1408</v>
      </c>
      <c r="D20" s="107" t="s">
        <v>1416</v>
      </c>
      <c r="E20" s="107" t="s">
        <v>1477</v>
      </c>
    </row>
    <row r="21" spans="2:5" ht="26.25" thickBot="1">
      <c r="B21" s="158" t="s">
        <v>1423</v>
      </c>
      <c r="C21" s="78">
        <v>1653601.0689952073</v>
      </c>
      <c r="D21" s="78">
        <v>3378879.999197091</v>
      </c>
      <c r="E21" s="78">
        <v>157070.81989671971</v>
      </c>
    </row>
    <row r="24" spans="2:5" ht="15.75">
      <c r="B24" s="368" t="s">
        <v>1478</v>
      </c>
      <c r="C24" s="368"/>
      <c r="D24" s="368"/>
      <c r="E24" s="368"/>
    </row>
    <row r="26" spans="2:5" ht="16.5" thickBot="1">
      <c r="B26" s="377" t="s">
        <v>1479</v>
      </c>
      <c r="C26" s="378"/>
      <c r="D26" s="378"/>
      <c r="E26" s="378"/>
    </row>
    <row r="27" spans="2:5" ht="16.5" thickBot="1">
      <c r="B27" s="77"/>
      <c r="C27" s="107" t="s">
        <v>1408</v>
      </c>
      <c r="D27" s="107" t="s">
        <v>1416</v>
      </c>
      <c r="E27" s="107" t="s">
        <v>1477</v>
      </c>
    </row>
    <row r="28" spans="2:5" ht="26.25" thickBot="1">
      <c r="B28" s="158" t="s">
        <v>1423</v>
      </c>
      <c r="C28" s="78">
        <v>338967.57696079405</v>
      </c>
      <c r="D28" s="78">
        <v>24650.68394341864</v>
      </c>
      <c r="E28" s="96">
        <v>0</v>
      </c>
    </row>
    <row r="30" spans="2:5" ht="16.5" thickBot="1">
      <c r="B30" s="377" t="s">
        <v>1480</v>
      </c>
      <c r="C30" s="378"/>
      <c r="D30" s="378"/>
      <c r="E30" s="378"/>
    </row>
    <row r="31" spans="2:5" ht="16.5" thickBot="1">
      <c r="B31" s="77"/>
      <c r="C31" s="107" t="s">
        <v>1408</v>
      </c>
      <c r="D31" s="107" t="s">
        <v>1416</v>
      </c>
      <c r="E31" s="107" t="s">
        <v>1477</v>
      </c>
    </row>
    <row r="32" spans="2:5" ht="26.25" thickBot="1">
      <c r="B32" s="158" t="s">
        <v>1423</v>
      </c>
      <c r="C32" s="78">
        <v>41894.869062570047</v>
      </c>
      <c r="D32" s="78">
        <v>3046.7137458157872</v>
      </c>
      <c r="E32" s="96">
        <v>0</v>
      </c>
    </row>
    <row r="34" spans="2:5" ht="16.5" thickBot="1">
      <c r="B34" s="377" t="s">
        <v>1481</v>
      </c>
      <c r="C34" s="378"/>
      <c r="D34" s="378"/>
      <c r="E34" s="378"/>
    </row>
    <row r="35" spans="2:5" ht="16.5" thickBot="1">
      <c r="B35" s="77"/>
      <c r="C35" s="107" t="s">
        <v>1408</v>
      </c>
      <c r="D35" s="107" t="s">
        <v>1416</v>
      </c>
      <c r="E35" s="107" t="s">
        <v>1477</v>
      </c>
    </row>
    <row r="36" spans="2:5" ht="26.25" thickBot="1">
      <c r="B36" s="158" t="s">
        <v>1423</v>
      </c>
      <c r="C36" s="78">
        <v>240399.51550637389</v>
      </c>
      <c r="D36" s="78">
        <v>446904.9445204449</v>
      </c>
      <c r="E36" s="96">
        <v>0</v>
      </c>
    </row>
    <row r="39" spans="2:5" ht="15.75">
      <c r="B39" s="368" t="s">
        <v>1437</v>
      </c>
      <c r="C39" s="368"/>
      <c r="D39" s="368"/>
      <c r="E39" s="368"/>
    </row>
    <row r="41" spans="2:5" ht="16.5" thickBot="1">
      <c r="B41" s="377" t="s">
        <v>1482</v>
      </c>
      <c r="C41" s="378"/>
      <c r="D41" s="378"/>
      <c r="E41" s="378"/>
    </row>
    <row r="42" spans="2:5" ht="16.5" thickBot="1">
      <c r="B42" s="77"/>
      <c r="C42" s="107" t="s">
        <v>1408</v>
      </c>
      <c r="D42" s="107" t="s">
        <v>1416</v>
      </c>
      <c r="E42" s="107" t="s">
        <v>1477</v>
      </c>
    </row>
    <row r="43" spans="2:5" ht="26.25" thickBot="1">
      <c r="B43" s="158" t="s">
        <v>1423</v>
      </c>
      <c r="C43" s="78">
        <v>1127272.1377522293</v>
      </c>
      <c r="D43" s="78">
        <v>27931.209261904769</v>
      </c>
      <c r="E43" s="78">
        <v>227437.35828944074</v>
      </c>
    </row>
    <row r="45" spans="2:5" ht="16.5" thickBot="1">
      <c r="B45" s="377" t="s">
        <v>1483</v>
      </c>
      <c r="C45" s="378"/>
      <c r="D45" s="378"/>
      <c r="E45" s="378"/>
    </row>
    <row r="46" spans="2:5" ht="16.5" thickBot="1">
      <c r="B46" s="77"/>
      <c r="C46" s="107" t="s">
        <v>1408</v>
      </c>
      <c r="D46" s="107" t="s">
        <v>1416</v>
      </c>
      <c r="E46" s="107" t="s">
        <v>1477</v>
      </c>
    </row>
    <row r="47" spans="2:5" ht="26.25" thickBot="1">
      <c r="B47" s="158" t="s">
        <v>1423</v>
      </c>
      <c r="C47" s="78">
        <v>1083065.3872521417</v>
      </c>
      <c r="D47" s="78">
        <v>26835.867722222225</v>
      </c>
      <c r="E47" s="78">
        <v>218518.24619965872</v>
      </c>
    </row>
    <row r="49" spans="2:5" ht="16.5" thickBot="1">
      <c r="B49" s="377" t="s">
        <v>1484</v>
      </c>
      <c r="C49" s="378"/>
      <c r="D49" s="378"/>
      <c r="E49" s="378"/>
    </row>
    <row r="50" spans="2:5" ht="16.5" thickBot="1">
      <c r="B50" s="77"/>
      <c r="C50" s="107" t="s">
        <v>1408</v>
      </c>
      <c r="D50" s="107" t="s">
        <v>1416</v>
      </c>
      <c r="E50" s="107" t="s">
        <v>1477</v>
      </c>
    </row>
    <row r="51" spans="2:5" ht="26.25" thickBot="1">
      <c r="B51" s="158" t="s">
        <v>1423</v>
      </c>
      <c r="C51" s="78">
        <v>13748.032872879874</v>
      </c>
      <c r="D51" s="78">
        <v>564688.026303855</v>
      </c>
      <c r="E51" s="96">
        <v>0</v>
      </c>
    </row>
    <row r="53" spans="2:5" ht="16.5" thickBot="1">
      <c r="B53" s="377" t="s">
        <v>1485</v>
      </c>
      <c r="C53" s="378"/>
      <c r="D53" s="378"/>
      <c r="E53" s="378"/>
    </row>
    <row r="54" spans="2:5" ht="16.5" thickBot="1">
      <c r="B54" s="77"/>
      <c r="C54" s="107" t="s">
        <v>1408</v>
      </c>
      <c r="D54" s="107" t="s">
        <v>1416</v>
      </c>
      <c r="E54" s="107" t="s">
        <v>1477</v>
      </c>
    </row>
    <row r="55" spans="2:5" ht="26.25" thickBot="1">
      <c r="B55" s="158" t="s">
        <v>1423</v>
      </c>
      <c r="C55" s="78">
        <v>1973325.2872291151</v>
      </c>
      <c r="D55" s="78">
        <v>4041203.4742187583</v>
      </c>
      <c r="E55" s="78">
        <v>187440.50581458921</v>
      </c>
    </row>
    <row r="58" spans="2:5" ht="15.75">
      <c r="B58" s="368" t="s">
        <v>1444</v>
      </c>
      <c r="C58" s="368"/>
      <c r="D58" s="368"/>
      <c r="E58" s="368"/>
    </row>
    <row r="60" spans="2:5" ht="16.5" thickBot="1">
      <c r="B60" s="377" t="s">
        <v>1486</v>
      </c>
      <c r="C60" s="378"/>
      <c r="D60" s="378"/>
      <c r="E60" s="378"/>
    </row>
    <row r="61" spans="2:5" ht="16.5" thickBot="1">
      <c r="B61" s="77"/>
      <c r="C61" s="107" t="s">
        <v>1408</v>
      </c>
      <c r="D61" s="107" t="s">
        <v>1416</v>
      </c>
      <c r="E61" s="107" t="s">
        <v>1477</v>
      </c>
    </row>
    <row r="62" spans="2:5" ht="26.25" thickBot="1">
      <c r="B62" s="158" t="s">
        <v>1423</v>
      </c>
      <c r="C62" s="78">
        <v>14730.941773037246</v>
      </c>
      <c r="D62" s="96">
        <v>0</v>
      </c>
      <c r="E62" s="96">
        <v>0</v>
      </c>
    </row>
    <row r="64" spans="2:5" ht="16.5" thickBot="1">
      <c r="B64" s="377" t="s">
        <v>1487</v>
      </c>
      <c r="C64" s="378"/>
      <c r="D64" s="378"/>
      <c r="E64" s="378"/>
    </row>
    <row r="65" spans="2:7" ht="16.5" thickBot="1">
      <c r="B65" s="77"/>
      <c r="C65" s="107" t="s">
        <v>1408</v>
      </c>
      <c r="D65" s="107" t="s">
        <v>1416</v>
      </c>
      <c r="E65" s="107" t="s">
        <v>1477</v>
      </c>
    </row>
    <row r="66" spans="2:7" ht="26.25" thickBot="1">
      <c r="B66" s="158" t="s">
        <v>1423</v>
      </c>
      <c r="C66" s="96">
        <v>0</v>
      </c>
      <c r="D66" s="78">
        <v>986.84807256235854</v>
      </c>
      <c r="E66" s="96">
        <v>0</v>
      </c>
    </row>
    <row r="70" spans="2:7" ht="15.75">
      <c r="B70" s="381" t="s">
        <v>1488</v>
      </c>
      <c r="C70" s="381"/>
      <c r="D70" s="381"/>
      <c r="E70" s="381"/>
      <c r="F70" s="381"/>
      <c r="G70" s="381"/>
    </row>
    <row r="72" spans="2:7" ht="15.75">
      <c r="B72" s="368" t="s">
        <v>1489</v>
      </c>
      <c r="C72" s="368"/>
      <c r="D72" s="368"/>
      <c r="E72" s="368"/>
    </row>
    <row r="73" spans="2:7" ht="15.75" thickBot="1"/>
    <row r="74" spans="2:7" ht="16.5" thickBot="1">
      <c r="B74" s="375" t="s">
        <v>1490</v>
      </c>
      <c r="C74" s="376"/>
      <c r="D74" s="376"/>
      <c r="E74" s="376"/>
    </row>
    <row r="75" spans="2:7" ht="16.5" thickBot="1">
      <c r="B75" s="77" t="s">
        <v>1491</v>
      </c>
      <c r="C75" s="77" t="s">
        <v>1492</v>
      </c>
      <c r="D75" s="375" t="s">
        <v>1493</v>
      </c>
      <c r="E75" s="394"/>
    </row>
    <row r="76" spans="2:7" ht="15.75" thickBot="1">
      <c r="B76" s="96">
        <v>1</v>
      </c>
      <c r="C76" s="96">
        <v>6</v>
      </c>
      <c r="D76" s="97">
        <f>C76*B76*C80</f>
        <v>2.365384615384615</v>
      </c>
      <c r="E76" s="98"/>
    </row>
    <row r="77" spans="2:7" ht="15.75" thickBot="1"/>
    <row r="78" spans="2:7" ht="16.5" thickBot="1">
      <c r="B78" s="77" t="s">
        <v>1494</v>
      </c>
      <c r="C78" s="77" t="s">
        <v>1495</v>
      </c>
      <c r="D78" s="77" t="s">
        <v>1496</v>
      </c>
    </row>
    <row r="79" spans="2:7" ht="15.75" thickBot="1">
      <c r="B79" s="96">
        <v>10.4</v>
      </c>
      <c r="C79" s="96">
        <v>4.0999999999999996</v>
      </c>
      <c r="D79" s="96">
        <f>B79-C79</f>
        <v>6.3000000000000007</v>
      </c>
    </row>
    <row r="80" spans="2:7" ht="15.75" thickBot="1">
      <c r="B80" s="96"/>
      <c r="C80" s="148">
        <f>C79/B79</f>
        <v>0.39423076923076916</v>
      </c>
      <c r="D80" s="148">
        <f>D79/B79</f>
        <v>0.60576923076923084</v>
      </c>
    </row>
    <row r="83" spans="2:11" ht="15.75">
      <c r="B83" s="368" t="s">
        <v>1497</v>
      </c>
      <c r="C83" s="368"/>
      <c r="D83" s="368"/>
      <c r="E83" s="368"/>
    </row>
    <row r="84" spans="2:11" ht="15.75" thickBot="1"/>
    <row r="85" spans="2:11" ht="32.25" thickBot="1">
      <c r="B85" s="77" t="s">
        <v>1498</v>
      </c>
      <c r="C85" s="77" t="s">
        <v>1499</v>
      </c>
      <c r="D85" s="77" t="s">
        <v>1500</v>
      </c>
      <c r="E85" s="77" t="s">
        <v>1501</v>
      </c>
      <c r="F85" s="77" t="s">
        <v>1502</v>
      </c>
    </row>
    <row r="86" spans="2:11" ht="15.75" thickBot="1">
      <c r="B86" s="96">
        <v>17132.86</v>
      </c>
      <c r="C86" s="161">
        <v>9.9</v>
      </c>
      <c r="D86" s="148">
        <f>2.4/C86</f>
        <v>0.2424242424242424</v>
      </c>
      <c r="E86" s="148">
        <f>1-D86</f>
        <v>0.75757575757575757</v>
      </c>
      <c r="F86" s="78">
        <f>B86*D86</f>
        <v>4153.4206060606057</v>
      </c>
    </row>
    <row r="89" spans="2:11" ht="15.75">
      <c r="B89" s="368" t="s">
        <v>1503</v>
      </c>
      <c r="C89" s="368"/>
      <c r="D89" s="368"/>
      <c r="E89" s="368"/>
    </row>
    <row r="91" spans="2:11" ht="16.5" customHeight="1" thickBot="1">
      <c r="B91" s="377" t="s">
        <v>1504</v>
      </c>
      <c r="C91" s="378"/>
      <c r="D91" s="378"/>
      <c r="E91" s="378"/>
      <c r="F91" s="378"/>
      <c r="G91" s="378"/>
      <c r="H91" s="378"/>
      <c r="I91" s="378"/>
      <c r="J91" s="378"/>
      <c r="K91" s="378"/>
    </row>
    <row r="92" spans="2:11" ht="32.25" thickBot="1">
      <c r="B92" s="77" t="s">
        <v>1505</v>
      </c>
      <c r="C92" s="77" t="s">
        <v>1506</v>
      </c>
      <c r="D92" s="77" t="s">
        <v>1507</v>
      </c>
      <c r="E92" s="77" t="s">
        <v>1508</v>
      </c>
      <c r="F92" s="77" t="s">
        <v>1509</v>
      </c>
      <c r="G92" s="77" t="s">
        <v>1510</v>
      </c>
      <c r="H92" s="77" t="s">
        <v>1499</v>
      </c>
      <c r="I92" s="77" t="s">
        <v>1500</v>
      </c>
      <c r="J92" s="77" t="s">
        <v>1511</v>
      </c>
      <c r="K92" s="77" t="s">
        <v>1502</v>
      </c>
    </row>
    <row r="93" spans="2:11" ht="15.75" thickBot="1">
      <c r="B93" s="96" t="s">
        <v>1512</v>
      </c>
      <c r="C93" s="96">
        <v>4</v>
      </c>
      <c r="D93" s="96">
        <v>2</v>
      </c>
      <c r="E93" s="96">
        <f>487/C93/2</f>
        <v>60.875</v>
      </c>
      <c r="F93" s="96">
        <v>417</v>
      </c>
      <c r="G93" s="96">
        <f>C93*E93*F93</f>
        <v>101539.5</v>
      </c>
      <c r="H93" s="96">
        <v>24.9</v>
      </c>
      <c r="I93" s="148">
        <f>3.7/H93</f>
        <v>0.14859437751004018</v>
      </c>
      <c r="J93" s="148">
        <f>1-I93</f>
        <v>0.85140562248995977</v>
      </c>
      <c r="K93" s="96">
        <f>G93*I95</f>
        <v>21779.486956521741</v>
      </c>
    </row>
    <row r="94" spans="2:11" ht="15.75" thickBot="1">
      <c r="B94" s="96" t="s">
        <v>1513</v>
      </c>
      <c r="C94" s="96">
        <v>1</v>
      </c>
      <c r="D94" s="96">
        <v>1</v>
      </c>
      <c r="E94" s="96">
        <v>52.2</v>
      </c>
      <c r="F94" s="96">
        <v>346</v>
      </c>
      <c r="G94" s="96">
        <f>C94*E94*F94</f>
        <v>18061.2</v>
      </c>
      <c r="H94" s="96">
        <v>9.6</v>
      </c>
      <c r="I94" s="148">
        <f>3.7/H94</f>
        <v>0.38541666666666669</v>
      </c>
      <c r="J94" s="148">
        <f>1-I94</f>
        <v>0.61458333333333326</v>
      </c>
      <c r="K94" s="96">
        <f>G94*I95</f>
        <v>3873.9965217391309</v>
      </c>
    </row>
    <row r="95" spans="2:11" ht="15.75" thickBot="1">
      <c r="B95" s="158" t="s">
        <v>893</v>
      </c>
      <c r="C95" s="96">
        <f>SUM(C93:C94)</f>
        <v>5</v>
      </c>
      <c r="D95" s="96">
        <f t="shared" ref="D95:F95" si="0">SUM(D93:D94)</f>
        <v>3</v>
      </c>
      <c r="E95" s="96">
        <f t="shared" si="0"/>
        <v>113.075</v>
      </c>
      <c r="F95" s="96">
        <f t="shared" si="0"/>
        <v>763</v>
      </c>
      <c r="G95" s="96">
        <f>SUM(G93:G94)</f>
        <v>119600.7</v>
      </c>
      <c r="H95" s="160">
        <f>SUM(H93:H94)</f>
        <v>34.5</v>
      </c>
      <c r="I95" s="148">
        <f>(H93*I93+H94*I94)/(H93+H94)</f>
        <v>0.21449275362318843</v>
      </c>
      <c r="J95" s="148">
        <f>(H93*J93+H94*J94)/(H93+H94)</f>
        <v>0.78550724637681146</v>
      </c>
      <c r="K95" s="78">
        <f>SUM(K93:K94)</f>
        <v>25653.483478260874</v>
      </c>
    </row>
    <row r="97" spans="2:10">
      <c r="J97" s="150"/>
    </row>
    <row r="98" spans="2:10" ht="15.75">
      <c r="B98" s="381" t="s">
        <v>1514</v>
      </c>
      <c r="C98" s="381"/>
      <c r="D98" s="381"/>
      <c r="E98" s="381"/>
      <c r="F98" s="381"/>
      <c r="G98" s="381"/>
    </row>
    <row r="100" spans="2:10" ht="15.75">
      <c r="B100" s="368" t="s">
        <v>1515</v>
      </c>
      <c r="C100" s="368"/>
      <c r="D100" s="368"/>
      <c r="E100" s="368"/>
    </row>
    <row r="101" spans="2:10" ht="15.75" thickBot="1"/>
    <row r="102" spans="2:10" ht="32.25" thickBot="1">
      <c r="B102" s="77" t="s">
        <v>1516</v>
      </c>
      <c r="C102" s="77" t="s">
        <v>1498</v>
      </c>
      <c r="D102" s="77" t="s">
        <v>1499</v>
      </c>
      <c r="E102" s="77" t="s">
        <v>1500</v>
      </c>
      <c r="F102" s="77" t="s">
        <v>1501</v>
      </c>
      <c r="G102" s="77" t="s">
        <v>1502</v>
      </c>
    </row>
    <row r="103" spans="2:10" ht="15.75" thickBot="1">
      <c r="B103" s="96" t="s">
        <v>1517</v>
      </c>
      <c r="C103" s="96">
        <v>1704589.92</v>
      </c>
      <c r="D103" s="391">
        <v>21</v>
      </c>
      <c r="E103" s="391">
        <v>1</v>
      </c>
      <c r="F103" s="391">
        <v>20</v>
      </c>
      <c r="G103" s="96">
        <f>C103*E105</f>
        <v>81170.948571428569</v>
      </c>
    </row>
    <row r="104" spans="2:10" ht="15.75" thickBot="1">
      <c r="B104" s="96" t="s">
        <v>1518</v>
      </c>
      <c r="C104" s="96">
        <v>67692.240000000005</v>
      </c>
      <c r="D104" s="392"/>
      <c r="E104" s="392"/>
      <c r="F104" s="392"/>
      <c r="G104" s="96">
        <f>C104*E105</f>
        <v>3223.44</v>
      </c>
    </row>
    <row r="105" spans="2:10" ht="15.75" thickBot="1">
      <c r="B105" s="158" t="s">
        <v>893</v>
      </c>
      <c r="C105" s="96">
        <f>SUM(C103:C104)</f>
        <v>1772282.16</v>
      </c>
      <c r="D105" s="148">
        <f>D103/D103</f>
        <v>1</v>
      </c>
      <c r="E105" s="148">
        <f>E103/D103</f>
        <v>4.7619047619047616E-2</v>
      </c>
      <c r="F105" s="148">
        <f>F103/D103</f>
        <v>0.95238095238095233</v>
      </c>
      <c r="G105" s="78">
        <f>SUM(G103:G104)</f>
        <v>84394.388571428572</v>
      </c>
      <c r="H105" s="152"/>
    </row>
    <row r="108" spans="2:10" ht="15.75">
      <c r="B108" s="381" t="s">
        <v>1519</v>
      </c>
      <c r="C108" s="381"/>
      <c r="D108" s="381"/>
      <c r="E108" s="381"/>
      <c r="F108" s="381"/>
      <c r="G108" s="381"/>
    </row>
    <row r="110" spans="2:10" ht="15.75">
      <c r="B110" s="368" t="s">
        <v>1520</v>
      </c>
      <c r="C110" s="368"/>
      <c r="D110" s="368"/>
      <c r="E110" s="368"/>
    </row>
    <row r="111" spans="2:10" ht="15.75" thickBot="1"/>
    <row r="112" spans="2:10" ht="32.25" thickBot="1">
      <c r="B112" s="77" t="s">
        <v>1498</v>
      </c>
    </row>
    <row r="113" spans="2:7" ht="15.75" thickBot="1">
      <c r="B113" s="96">
        <v>77416.128310280372</v>
      </c>
    </row>
    <row r="117" spans="2:7" ht="15.75">
      <c r="B117" s="381" t="s">
        <v>1521</v>
      </c>
      <c r="C117" s="381"/>
      <c r="D117" s="381"/>
      <c r="E117" s="381"/>
      <c r="F117" s="381"/>
      <c r="G117" s="381"/>
    </row>
    <row r="119" spans="2:7" ht="15.75">
      <c r="B119" s="368" t="s">
        <v>1413</v>
      </c>
      <c r="C119" s="368"/>
      <c r="D119" s="368"/>
      <c r="E119" s="368"/>
    </row>
    <row r="121" spans="2:7" ht="16.5" customHeight="1" thickBot="1">
      <c r="B121" s="377" t="s">
        <v>1522</v>
      </c>
      <c r="C121" s="378"/>
      <c r="D121" s="378"/>
      <c r="E121" s="378"/>
    </row>
    <row r="122" spans="2:7" ht="16.5" thickBot="1">
      <c r="B122" s="77"/>
      <c r="C122" s="107" t="s">
        <v>1408</v>
      </c>
      <c r="D122" s="107" t="s">
        <v>1416</v>
      </c>
      <c r="E122" s="107" t="s">
        <v>1477</v>
      </c>
    </row>
    <row r="123" spans="2:7" ht="26.25" thickBot="1">
      <c r="B123" s="158" t="s">
        <v>1523</v>
      </c>
      <c r="C123" s="78">
        <v>614275.11330462969</v>
      </c>
      <c r="D123" s="78">
        <v>1255176.918584561</v>
      </c>
      <c r="E123" s="78">
        <v>58348.230113044418</v>
      </c>
    </row>
    <row r="126" spans="2:7" ht="15.75">
      <c r="B126" s="381" t="s">
        <v>1524</v>
      </c>
      <c r="C126" s="381"/>
      <c r="D126" s="381"/>
      <c r="E126" s="381"/>
      <c r="F126" s="381"/>
      <c r="G126" s="381"/>
    </row>
    <row r="128" spans="2:7" ht="15.75">
      <c r="B128" s="368" t="s">
        <v>1489</v>
      </c>
      <c r="C128" s="368"/>
      <c r="D128" s="368"/>
      <c r="E128" s="368"/>
    </row>
    <row r="129" spans="2:5" ht="15.75" thickBot="1"/>
    <row r="130" spans="2:5" ht="37.5" customHeight="1" thickBot="1">
      <c r="B130" s="375" t="s">
        <v>1490</v>
      </c>
      <c r="C130" s="376"/>
      <c r="D130" s="376"/>
      <c r="E130" s="376"/>
    </row>
    <row r="131" spans="2:5" ht="16.5" thickBot="1">
      <c r="B131" s="77" t="s">
        <v>1491</v>
      </c>
      <c r="C131" s="77" t="s">
        <v>1492</v>
      </c>
      <c r="D131" s="375" t="s">
        <v>1525</v>
      </c>
      <c r="E131" s="394"/>
    </row>
    <row r="132" spans="2:5" ht="15.75" thickBot="1">
      <c r="B132" s="96">
        <v>1</v>
      </c>
      <c r="C132" s="96">
        <v>6</v>
      </c>
      <c r="D132" s="97">
        <f>C132*B132*D80</f>
        <v>3.634615384615385</v>
      </c>
      <c r="E132" s="98"/>
    </row>
    <row r="148" spans="2:6" ht="15.75">
      <c r="B148" s="368" t="s">
        <v>1497</v>
      </c>
      <c r="C148" s="368"/>
      <c r="D148" s="368"/>
      <c r="E148" s="368"/>
    </row>
    <row r="149" spans="2:6" ht="15.75" thickBot="1"/>
    <row r="150" spans="2:6" ht="32.25" thickBot="1">
      <c r="B150" s="77" t="s">
        <v>1498</v>
      </c>
      <c r="C150" s="77" t="s">
        <v>1499</v>
      </c>
      <c r="D150" s="77" t="s">
        <v>1500</v>
      </c>
      <c r="E150" s="77" t="s">
        <v>1501</v>
      </c>
      <c r="F150" s="77" t="s">
        <v>1526</v>
      </c>
    </row>
    <row r="151" spans="2:6" ht="15.75" thickBot="1">
      <c r="B151" s="96">
        <v>17132.86</v>
      </c>
      <c r="C151" s="161">
        <v>9.9</v>
      </c>
      <c r="D151" s="148">
        <f>2.4/C151</f>
        <v>0.2424242424242424</v>
      </c>
      <c r="E151" s="148">
        <f>1-D151</f>
        <v>0.75757575757575757</v>
      </c>
      <c r="F151" s="78">
        <f>B151*E151</f>
        <v>12979.439393939394</v>
      </c>
    </row>
    <row r="165" spans="2:11" ht="15.75">
      <c r="B165" s="368" t="s">
        <v>1503</v>
      </c>
      <c r="C165" s="368"/>
      <c r="D165" s="368"/>
      <c r="E165" s="368"/>
    </row>
    <row r="167" spans="2:11" ht="16.5" customHeight="1" thickBot="1">
      <c r="B167" s="377" t="s">
        <v>1504</v>
      </c>
      <c r="C167" s="378"/>
      <c r="D167" s="378"/>
      <c r="E167" s="378"/>
      <c r="F167" s="378"/>
      <c r="G167" s="378"/>
      <c r="H167" s="378"/>
      <c r="I167" s="378"/>
      <c r="J167" s="378"/>
      <c r="K167" s="378"/>
    </row>
    <row r="168" spans="2:11" ht="32.25" thickBot="1">
      <c r="B168" s="77" t="s">
        <v>1505</v>
      </c>
      <c r="C168" s="77" t="s">
        <v>1506</v>
      </c>
      <c r="D168" s="77" t="s">
        <v>1507</v>
      </c>
      <c r="E168" s="77" t="s">
        <v>1508</v>
      </c>
      <c r="F168" s="77" t="s">
        <v>1509</v>
      </c>
      <c r="G168" s="77" t="s">
        <v>1510</v>
      </c>
      <c r="H168" s="77" t="s">
        <v>1499</v>
      </c>
      <c r="I168" s="77" t="s">
        <v>1500</v>
      </c>
      <c r="J168" s="77" t="s">
        <v>1511</v>
      </c>
      <c r="K168" s="77" t="s">
        <v>1502</v>
      </c>
    </row>
    <row r="169" spans="2:11" ht="15.75" thickBot="1">
      <c r="B169" s="96" t="s">
        <v>1512</v>
      </c>
      <c r="C169" s="96">
        <v>4</v>
      </c>
      <c r="D169" s="96">
        <v>2</v>
      </c>
      <c r="E169" s="96">
        <f>487/C169/2</f>
        <v>60.875</v>
      </c>
      <c r="F169" s="96">
        <v>417</v>
      </c>
      <c r="G169" s="96">
        <f>C169*E169*F169</f>
        <v>101539.5</v>
      </c>
      <c r="H169" s="96">
        <v>24.9</v>
      </c>
      <c r="I169" s="148">
        <f>3.7/H169</f>
        <v>0.14859437751004018</v>
      </c>
      <c r="J169" s="148">
        <f>1-I169</f>
        <v>0.85140562248995977</v>
      </c>
      <c r="K169" s="96">
        <f>G169*J171</f>
        <v>79760.013043478248</v>
      </c>
    </row>
    <row r="170" spans="2:11" ht="15.75" thickBot="1">
      <c r="B170" s="96" t="s">
        <v>1513</v>
      </c>
      <c r="C170" s="96">
        <v>1</v>
      </c>
      <c r="D170" s="96">
        <v>1</v>
      </c>
      <c r="E170" s="96">
        <v>52.2</v>
      </c>
      <c r="F170" s="96">
        <v>346</v>
      </c>
      <c r="G170" s="96">
        <f>C170*E170*F170</f>
        <v>18061.2</v>
      </c>
      <c r="H170" s="96">
        <v>9.6</v>
      </c>
      <c r="I170" s="148">
        <f>3.7/H170</f>
        <v>0.38541666666666669</v>
      </c>
      <c r="J170" s="148">
        <f>1-I170</f>
        <v>0.61458333333333326</v>
      </c>
      <c r="K170" s="96">
        <f>G170*J171</f>
        <v>14187.203478260868</v>
      </c>
    </row>
    <row r="171" spans="2:11" ht="15.75" thickBot="1">
      <c r="B171" s="158" t="s">
        <v>893</v>
      </c>
      <c r="C171" s="96">
        <f>SUM(C169:C170)</f>
        <v>5</v>
      </c>
      <c r="D171" s="96">
        <f t="shared" ref="D171" si="1">SUM(D169:D170)</f>
        <v>3</v>
      </c>
      <c r="E171" s="96">
        <f t="shared" ref="E171" si="2">SUM(E169:E170)</f>
        <v>113.075</v>
      </c>
      <c r="F171" s="96">
        <f t="shared" ref="F171" si="3">SUM(F169:F170)</f>
        <v>763</v>
      </c>
      <c r="G171" s="96">
        <f>SUM(G169:G170)</f>
        <v>119600.7</v>
      </c>
      <c r="H171" s="160">
        <f>SUM(H169:H170)</f>
        <v>34.5</v>
      </c>
      <c r="I171" s="148">
        <f>(H169*I169+H170*I170)/(H169+H170)</f>
        <v>0.21449275362318843</v>
      </c>
      <c r="J171" s="148">
        <f>(H169*J169+H170*J170)/(H169+H170)</f>
        <v>0.78550724637681146</v>
      </c>
      <c r="K171" s="78">
        <f>SUM(K169:K170)</f>
        <v>93947.216521739116</v>
      </c>
    </row>
    <row r="200" spans="2:7" ht="15.75">
      <c r="B200" s="381" t="s">
        <v>1527</v>
      </c>
      <c r="C200" s="381"/>
      <c r="D200" s="381"/>
      <c r="E200" s="381"/>
      <c r="F200" s="381"/>
      <c r="G200" s="381"/>
    </row>
    <row r="202" spans="2:7" ht="15.75">
      <c r="B202" s="368" t="s">
        <v>1515</v>
      </c>
      <c r="C202" s="368"/>
      <c r="D202" s="368"/>
      <c r="E202" s="368"/>
    </row>
    <row r="203" spans="2:7" ht="15.75" thickBot="1"/>
    <row r="204" spans="2:7" ht="32.25" thickBot="1">
      <c r="B204" s="77" t="s">
        <v>1516</v>
      </c>
      <c r="C204" s="77" t="s">
        <v>1498</v>
      </c>
      <c r="D204" s="77" t="s">
        <v>1499</v>
      </c>
      <c r="E204" s="77" t="s">
        <v>1500</v>
      </c>
      <c r="F204" s="77" t="s">
        <v>1501</v>
      </c>
      <c r="G204" s="77" t="s">
        <v>1526</v>
      </c>
    </row>
    <row r="205" spans="2:7" ht="15.75" thickBot="1">
      <c r="B205" s="96" t="s">
        <v>1517</v>
      </c>
      <c r="C205" s="96">
        <v>1704589.92</v>
      </c>
      <c r="D205" s="391">
        <v>21</v>
      </c>
      <c r="E205" s="391">
        <v>1</v>
      </c>
      <c r="F205" s="391">
        <v>20</v>
      </c>
      <c r="G205" s="96">
        <f>C205*F207</f>
        <v>1623418.9714285713</v>
      </c>
    </row>
    <row r="206" spans="2:7" ht="15.75" thickBot="1">
      <c r="B206" s="96" t="s">
        <v>1518</v>
      </c>
      <c r="C206" s="96">
        <v>67692.240000000005</v>
      </c>
      <c r="D206" s="392"/>
      <c r="E206" s="392"/>
      <c r="F206" s="392"/>
      <c r="G206" s="96">
        <f>C206*F207</f>
        <v>64468.800000000003</v>
      </c>
    </row>
    <row r="207" spans="2:7" ht="15.75" thickBot="1">
      <c r="B207" s="158" t="s">
        <v>893</v>
      </c>
      <c r="C207" s="96">
        <f>SUM(C205:C206)</f>
        <v>1772282.16</v>
      </c>
      <c r="D207" s="148">
        <f>D205/D205</f>
        <v>1</v>
      </c>
      <c r="E207" s="148">
        <f>E205/D205</f>
        <v>4.7619047619047616E-2</v>
      </c>
      <c r="F207" s="148">
        <f>F205/D205</f>
        <v>0.95238095238095233</v>
      </c>
      <c r="G207" s="78">
        <f>SUM(G205:G206)</f>
        <v>1687887.7714285713</v>
      </c>
    </row>
    <row r="221" spans="2:6" ht="15.75">
      <c r="B221" s="381" t="s">
        <v>1528</v>
      </c>
      <c r="C221" s="381"/>
      <c r="D221" s="381"/>
      <c r="E221" s="381"/>
      <c r="F221" s="381"/>
    </row>
    <row r="223" spans="2:6" ht="15.75">
      <c r="B223" s="368" t="s">
        <v>1413</v>
      </c>
      <c r="C223" s="368"/>
      <c r="D223" s="368"/>
      <c r="E223" s="368"/>
    </row>
    <row r="224" spans="2:6" ht="15.75" thickBot="1"/>
    <row r="225" spans="2:7" ht="16.5" thickBot="1">
      <c r="B225" s="375" t="s">
        <v>1529</v>
      </c>
      <c r="C225" s="394"/>
    </row>
    <row r="226" spans="2:7" ht="15.75" thickBot="1">
      <c r="B226" s="96" t="s">
        <v>1530</v>
      </c>
      <c r="C226" s="78">
        <v>60498.394107509375</v>
      </c>
    </row>
    <row r="227" spans="2:7" ht="15.75" thickBot="1"/>
    <row r="228" spans="2:7" ht="16.5" thickBot="1">
      <c r="B228" s="375" t="s">
        <v>1531</v>
      </c>
      <c r="C228" s="394"/>
    </row>
    <row r="229" spans="2:7" ht="15.75" thickBot="1">
      <c r="B229" s="96" t="s">
        <v>1530</v>
      </c>
      <c r="C229" s="78">
        <v>22473.774716243955</v>
      </c>
    </row>
    <row r="232" spans="2:7" ht="15.75">
      <c r="B232" s="381" t="s">
        <v>1532</v>
      </c>
      <c r="C232" s="381"/>
      <c r="D232" s="381"/>
      <c r="E232" s="381"/>
      <c r="F232" s="381"/>
      <c r="G232" s="381"/>
    </row>
    <row r="234" spans="2:7" ht="15.75">
      <c r="B234" s="368" t="s">
        <v>1520</v>
      </c>
      <c r="C234" s="368"/>
      <c r="D234" s="368"/>
      <c r="E234" s="368"/>
    </row>
    <row r="235" spans="2:7" ht="15.75" thickBot="1"/>
    <row r="236" spans="2:7" ht="32.25" thickBot="1">
      <c r="B236" s="77" t="s">
        <v>1498</v>
      </c>
    </row>
    <row r="237" spans="2:7" ht="15.75" thickBot="1">
      <c r="B237" s="96">
        <v>248621.97131232265</v>
      </c>
    </row>
  </sheetData>
  <mergeCells count="53">
    <mergeCell ref="B232:G232"/>
    <mergeCell ref="B234:E234"/>
    <mergeCell ref="B64:E64"/>
    <mergeCell ref="B17:E17"/>
    <mergeCell ref="B19:E19"/>
    <mergeCell ref="B119:E119"/>
    <mergeCell ref="B121:E121"/>
    <mergeCell ref="B91:K91"/>
    <mergeCell ref="B117:G117"/>
    <mergeCell ref="B24:E24"/>
    <mergeCell ref="B26:E26"/>
    <mergeCell ref="B30:E30"/>
    <mergeCell ref="B34:E34"/>
    <mergeCell ref="B39:E39"/>
    <mergeCell ref="B41:E41"/>
    <mergeCell ref="B45:E45"/>
    <mergeCell ref="B49:E49"/>
    <mergeCell ref="B58:E58"/>
    <mergeCell ref="B60:E60"/>
    <mergeCell ref="B1:C1"/>
    <mergeCell ref="B5:G5"/>
    <mergeCell ref="B53:E53"/>
    <mergeCell ref="B70:G70"/>
    <mergeCell ref="B126:G126"/>
    <mergeCell ref="B7:E7"/>
    <mergeCell ref="B72:E72"/>
    <mergeCell ref="B9:F9"/>
    <mergeCell ref="B74:E74"/>
    <mergeCell ref="D75:E75"/>
    <mergeCell ref="B98:G98"/>
    <mergeCell ref="B100:E100"/>
    <mergeCell ref="F103:F104"/>
    <mergeCell ref="B83:E83"/>
    <mergeCell ref="B89:E89"/>
    <mergeCell ref="D103:D104"/>
    <mergeCell ref="E103:E104"/>
    <mergeCell ref="B108:G108"/>
    <mergeCell ref="B110:E110"/>
    <mergeCell ref="F205:F206"/>
    <mergeCell ref="B221:F221"/>
    <mergeCell ref="B128:E128"/>
    <mergeCell ref="B130:E130"/>
    <mergeCell ref="D131:E131"/>
    <mergeCell ref="B148:E148"/>
    <mergeCell ref="B165:E165"/>
    <mergeCell ref="B200:G200"/>
    <mergeCell ref="B202:E202"/>
    <mergeCell ref="B167:K167"/>
    <mergeCell ref="B223:E223"/>
    <mergeCell ref="B225:C225"/>
    <mergeCell ref="B228:C228"/>
    <mergeCell ref="D205:D206"/>
    <mergeCell ref="E205:E206"/>
  </mergeCells>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46DF66-630B-4D24-9DBE-BFC9FE4291C0}">
  <sheetPr>
    <tabColor theme="8"/>
  </sheetPr>
  <dimension ref="A1:R258"/>
  <sheetViews>
    <sheetView topLeftCell="A20" zoomScaleNormal="100" workbookViewId="0">
      <selection activeCell="I91" sqref="I91"/>
    </sheetView>
  </sheetViews>
  <sheetFormatPr defaultRowHeight="15"/>
  <cols>
    <col min="2" max="2" width="21.140625" customWidth="1"/>
    <col min="3" max="3" width="19.28515625" customWidth="1"/>
    <col min="4" max="4" width="20" customWidth="1"/>
    <col min="5" max="5" width="18.5703125" customWidth="1"/>
    <col min="6" max="6" width="15.28515625" customWidth="1"/>
    <col min="7" max="7" width="15.7109375" customWidth="1"/>
    <col min="8" max="8" width="24.5703125" customWidth="1"/>
    <col min="9" max="9" width="17" customWidth="1"/>
    <col min="10" max="10" width="12.85546875" customWidth="1"/>
    <col min="11" max="11" width="13" customWidth="1"/>
    <col min="12" max="12" width="16" customWidth="1"/>
    <col min="13" max="13" width="16.5703125" customWidth="1"/>
    <col min="14" max="14" width="23.28515625" customWidth="1"/>
    <col min="15" max="15" width="15.85546875" customWidth="1"/>
    <col min="16" max="16" width="26" customWidth="1"/>
    <col min="17" max="17" width="23.85546875" customWidth="1"/>
    <col min="18" max="18" width="30.5703125" customWidth="1"/>
    <col min="19" max="19" width="13.7109375" customWidth="1"/>
  </cols>
  <sheetData>
    <row r="1" spans="2:7" ht="18.75">
      <c r="B1" s="379" t="s">
        <v>21</v>
      </c>
      <c r="C1" s="380"/>
    </row>
    <row r="3" spans="2:7" ht="19.5" thickBot="1">
      <c r="B3" s="62" t="s">
        <v>1533</v>
      </c>
      <c r="C3" s="76"/>
      <c r="D3" s="76"/>
      <c r="E3" s="76"/>
      <c r="F3" s="76"/>
      <c r="G3" s="76"/>
    </row>
    <row r="5" spans="2:7" ht="15.75">
      <c r="B5" s="381" t="s">
        <v>1534</v>
      </c>
      <c r="C5" s="381"/>
      <c r="D5" s="381"/>
      <c r="E5" s="381"/>
      <c r="F5" s="381"/>
      <c r="G5" s="381"/>
    </row>
    <row r="7" spans="2:7" ht="15.75">
      <c r="B7" s="368" t="s">
        <v>1535</v>
      </c>
      <c r="C7" s="368"/>
      <c r="D7" s="368"/>
      <c r="E7" s="368"/>
    </row>
    <row r="8" spans="2:7" ht="15.75" thickBot="1"/>
    <row r="9" spans="2:7" ht="18.75" customHeight="1" thickBot="1">
      <c r="B9" s="395" t="s">
        <v>1536</v>
      </c>
      <c r="C9" s="396"/>
      <c r="D9" s="78">
        <f>8380.01*1000</f>
        <v>8380010</v>
      </c>
    </row>
    <row r="12" spans="2:7" ht="15.75">
      <c r="B12" s="381" t="s">
        <v>1537</v>
      </c>
      <c r="C12" s="381"/>
      <c r="D12" s="381"/>
      <c r="E12" s="381"/>
      <c r="F12" s="381"/>
      <c r="G12" s="381"/>
    </row>
    <row r="14" spans="2:7" ht="15.75">
      <c r="B14" s="368" t="s">
        <v>1413</v>
      </c>
      <c r="C14" s="368"/>
      <c r="D14" s="368"/>
      <c r="E14" s="368"/>
    </row>
    <row r="15" spans="2:7" ht="15.75" thickBot="1"/>
    <row r="16" spans="2:7" ht="16.5" thickBot="1">
      <c r="B16" s="375" t="s">
        <v>1538</v>
      </c>
      <c r="C16" s="394"/>
      <c r="E16" s="371" t="s">
        <v>1415</v>
      </c>
      <c r="F16" s="372"/>
    </row>
    <row r="17" spans="2:6" ht="16.5" thickBot="1">
      <c r="B17" s="77" t="s">
        <v>1539</v>
      </c>
      <c r="C17" s="77" t="s">
        <v>1540</v>
      </c>
      <c r="E17" s="107" t="s">
        <v>1420</v>
      </c>
      <c r="F17" s="96">
        <v>213</v>
      </c>
    </row>
    <row r="18" spans="2:6" ht="16.5" thickBot="1">
      <c r="B18" s="96">
        <v>85.586697512748643</v>
      </c>
      <c r="C18" s="78">
        <f>B18*F18</f>
        <v>747514.2160763467</v>
      </c>
      <c r="E18" s="107" t="s">
        <v>1422</v>
      </c>
      <c r="F18" s="96">
        <v>8734</v>
      </c>
    </row>
    <row r="19" spans="2:6" ht="15.75" thickBot="1"/>
    <row r="20" spans="2:6" ht="16.5" thickBot="1">
      <c r="B20" s="375" t="s">
        <v>1541</v>
      </c>
      <c r="C20" s="394"/>
    </row>
    <row r="21" spans="2:6" ht="16.5" thickBot="1">
      <c r="B21" s="77" t="s">
        <v>1539</v>
      </c>
      <c r="C21" s="77" t="s">
        <v>1540</v>
      </c>
    </row>
    <row r="22" spans="2:6" ht="15.75" thickBot="1">
      <c r="B22" s="96">
        <v>4.4198309859154925</v>
      </c>
      <c r="C22" s="78">
        <f>B22*F18</f>
        <v>38602.803830985911</v>
      </c>
    </row>
    <row r="25" spans="2:6" ht="15.75">
      <c r="B25" s="368" t="s">
        <v>1478</v>
      </c>
      <c r="C25" s="368"/>
      <c r="D25" s="368"/>
      <c r="E25" s="368"/>
    </row>
    <row r="26" spans="2:6" ht="15.75" thickBot="1"/>
    <row r="27" spans="2:6" ht="16.5" thickBot="1">
      <c r="B27" s="375" t="s">
        <v>1538</v>
      </c>
      <c r="C27" s="394"/>
      <c r="E27" s="371" t="s">
        <v>1542</v>
      </c>
      <c r="F27" s="372"/>
    </row>
    <row r="28" spans="2:6" ht="16.5" thickBot="1">
      <c r="B28" s="77" t="s">
        <v>1543</v>
      </c>
      <c r="C28" s="77" t="s">
        <v>1540</v>
      </c>
      <c r="E28" s="107" t="s">
        <v>1420</v>
      </c>
      <c r="F28" s="96">
        <v>147</v>
      </c>
    </row>
    <row r="29" spans="2:6" ht="16.5" thickBot="1">
      <c r="B29" s="96">
        <v>5.0230423673469389</v>
      </c>
      <c r="C29" s="78">
        <f>B29*F29</f>
        <v>5223.9640620408163</v>
      </c>
      <c r="E29" s="107" t="s">
        <v>1422</v>
      </c>
      <c r="F29" s="96">
        <v>1040</v>
      </c>
    </row>
    <row r="32" spans="2:6" ht="15.75">
      <c r="B32" s="368" t="s">
        <v>1437</v>
      </c>
      <c r="C32" s="368"/>
      <c r="D32" s="368"/>
      <c r="E32" s="368"/>
    </row>
    <row r="33" spans="2:7" ht="15.75" thickBot="1"/>
    <row r="34" spans="2:7" ht="16.5" thickBot="1">
      <c r="B34" s="375" t="s">
        <v>1538</v>
      </c>
      <c r="C34" s="394"/>
      <c r="E34" s="371" t="s">
        <v>1542</v>
      </c>
      <c r="F34" s="372"/>
    </row>
    <row r="35" spans="2:7" ht="16.5" thickBot="1">
      <c r="B35" s="77" t="s">
        <v>1544</v>
      </c>
      <c r="C35" s="77" t="s">
        <v>1540</v>
      </c>
      <c r="E35" s="107" t="s">
        <v>1420</v>
      </c>
      <c r="F35" s="96">
        <v>28</v>
      </c>
    </row>
    <row r="36" spans="2:7" ht="16.5" thickBot="1">
      <c r="B36" s="96">
        <v>6915.5178571428569</v>
      </c>
      <c r="C36" s="78">
        <f>B36*F36</f>
        <v>255874.16071428571</v>
      </c>
      <c r="E36" s="107" t="s">
        <v>1422</v>
      </c>
      <c r="F36" s="96">
        <v>37</v>
      </c>
    </row>
    <row r="39" spans="2:7" ht="15.75">
      <c r="B39" s="368" t="s">
        <v>1444</v>
      </c>
      <c r="C39" s="368"/>
      <c r="D39" s="368"/>
      <c r="E39" s="368"/>
    </row>
    <row r="40" spans="2:7" ht="15.75" thickBot="1"/>
    <row r="41" spans="2:7" ht="16.5" customHeight="1" thickBot="1">
      <c r="B41" s="375" t="s">
        <v>1538</v>
      </c>
      <c r="C41" s="394"/>
      <c r="E41" s="371" t="s">
        <v>1446</v>
      </c>
      <c r="F41" s="372"/>
    </row>
    <row r="42" spans="2:7" ht="16.5" thickBot="1">
      <c r="B42" s="77" t="s">
        <v>1545</v>
      </c>
      <c r="C42" s="77" t="s">
        <v>1540</v>
      </c>
      <c r="E42" s="107" t="s">
        <v>1420</v>
      </c>
      <c r="F42" s="96">
        <v>21</v>
      </c>
    </row>
    <row r="43" spans="2:7" ht="16.5" thickBot="1">
      <c r="B43" s="96">
        <v>4417.5238095238092</v>
      </c>
      <c r="C43" s="78">
        <f>B43*F43</f>
        <v>132525.71428571426</v>
      </c>
      <c r="E43" s="107" t="s">
        <v>1422</v>
      </c>
      <c r="F43" s="96">
        <v>30</v>
      </c>
    </row>
    <row r="47" spans="2:7" ht="15.75">
      <c r="B47" s="381" t="s">
        <v>1546</v>
      </c>
      <c r="C47" s="381"/>
      <c r="D47" s="381"/>
      <c r="E47" s="381"/>
      <c r="F47" s="381"/>
      <c r="G47" s="381"/>
    </row>
    <row r="49" spans="1:8" ht="15.75">
      <c r="B49" s="368" t="s">
        <v>1547</v>
      </c>
      <c r="C49" s="368"/>
      <c r="D49" s="368"/>
      <c r="E49" s="368"/>
    </row>
    <row r="50" spans="1:8" ht="15.75" thickBot="1"/>
    <row r="51" spans="1:8" ht="16.5" customHeight="1" thickBot="1">
      <c r="B51" s="397" t="s">
        <v>1548</v>
      </c>
      <c r="C51" s="398"/>
      <c r="D51" s="398"/>
      <c r="E51" s="398"/>
      <c r="F51" s="398"/>
      <c r="G51" s="399"/>
    </row>
    <row r="52" spans="1:8" ht="16.5" thickBot="1">
      <c r="B52" s="107" t="s">
        <v>1549</v>
      </c>
      <c r="C52" s="107" t="s">
        <v>1550</v>
      </c>
      <c r="D52" s="107" t="s">
        <v>1551</v>
      </c>
      <c r="E52" s="107" t="s">
        <v>1552</v>
      </c>
      <c r="F52" s="107" t="s">
        <v>1553</v>
      </c>
      <c r="G52" s="107" t="s">
        <v>1554</v>
      </c>
    </row>
    <row r="53" spans="1:8" ht="15.75" thickBot="1">
      <c r="B53" s="96">
        <v>10</v>
      </c>
      <c r="C53" s="391">
        <f>+(125+250)/2</f>
        <v>187.5</v>
      </c>
      <c r="D53" s="96">
        <f>B53*$C$53</f>
        <v>1875</v>
      </c>
      <c r="E53" s="391">
        <f>+C108</f>
        <v>0.77687499999999998</v>
      </c>
      <c r="F53" s="96">
        <f>+D53*$E$53</f>
        <v>1456.640625</v>
      </c>
      <c r="G53" s="147">
        <f>+F53/(1*10^6)</f>
        <v>1.456640625E-3</v>
      </c>
    </row>
    <row r="54" spans="1:8" ht="15.75" thickBot="1">
      <c r="B54" s="96">
        <v>30</v>
      </c>
      <c r="C54" s="392"/>
      <c r="D54" s="96">
        <f t="shared" ref="D54:D63" si="0">B54*$C$53</f>
        <v>5625</v>
      </c>
      <c r="E54" s="392"/>
      <c r="F54" s="96">
        <f t="shared" ref="F54:F63" si="1">+D54*$E$53</f>
        <v>4369.921875</v>
      </c>
      <c r="G54" s="147">
        <f t="shared" ref="G54:G63" si="2">+F54/(1*10^6)</f>
        <v>4.3699218750000001E-3</v>
      </c>
    </row>
    <row r="55" spans="1:8" ht="15.75" thickBot="1">
      <c r="B55" s="96">
        <v>200</v>
      </c>
      <c r="C55" s="392"/>
      <c r="D55" s="96">
        <f t="shared" si="0"/>
        <v>37500</v>
      </c>
      <c r="E55" s="392"/>
      <c r="F55" s="96">
        <f t="shared" si="1"/>
        <v>29132.8125</v>
      </c>
      <c r="G55" s="147">
        <f t="shared" si="2"/>
        <v>2.9132812500000001E-2</v>
      </c>
    </row>
    <row r="56" spans="1:8" ht="15.75" thickBot="1">
      <c r="B56" s="96">
        <v>10</v>
      </c>
      <c r="C56" s="392"/>
      <c r="D56" s="96">
        <f t="shared" si="0"/>
        <v>1875</v>
      </c>
      <c r="E56" s="392"/>
      <c r="F56" s="96">
        <f t="shared" si="1"/>
        <v>1456.640625</v>
      </c>
      <c r="G56" s="147">
        <f t="shared" si="2"/>
        <v>1.456640625E-3</v>
      </c>
    </row>
    <row r="57" spans="1:8" ht="15.75" thickBot="1">
      <c r="B57" s="96">
        <v>50</v>
      </c>
      <c r="C57" s="392"/>
      <c r="D57" s="96">
        <f t="shared" si="0"/>
        <v>9375</v>
      </c>
      <c r="E57" s="392"/>
      <c r="F57" s="96">
        <f t="shared" si="1"/>
        <v>7283.203125</v>
      </c>
      <c r="G57" s="147">
        <f t="shared" si="2"/>
        <v>7.2832031250000002E-3</v>
      </c>
    </row>
    <row r="58" spans="1:8" ht="15.75" thickBot="1">
      <c r="B58" s="96">
        <v>10</v>
      </c>
      <c r="C58" s="392"/>
      <c r="D58" s="96">
        <f t="shared" si="0"/>
        <v>1875</v>
      </c>
      <c r="E58" s="392"/>
      <c r="F58" s="96">
        <f t="shared" si="1"/>
        <v>1456.640625</v>
      </c>
      <c r="G58" s="147">
        <f t="shared" si="2"/>
        <v>1.456640625E-3</v>
      </c>
    </row>
    <row r="59" spans="1:8" ht="15.75" thickBot="1">
      <c r="B59" s="96">
        <v>10</v>
      </c>
      <c r="C59" s="392"/>
      <c r="D59" s="96">
        <f t="shared" si="0"/>
        <v>1875</v>
      </c>
      <c r="E59" s="392"/>
      <c r="F59" s="96">
        <f t="shared" si="1"/>
        <v>1456.640625</v>
      </c>
      <c r="G59" s="147">
        <f t="shared" si="2"/>
        <v>1.456640625E-3</v>
      </c>
      <c r="H59" s="154"/>
    </row>
    <row r="60" spans="1:8" ht="15.75" thickBot="1">
      <c r="A60" s="152"/>
      <c r="B60" s="96">
        <v>10</v>
      </c>
      <c r="C60" s="392"/>
      <c r="D60" s="96">
        <f t="shared" si="0"/>
        <v>1875</v>
      </c>
      <c r="E60" s="392"/>
      <c r="F60" s="96">
        <f t="shared" si="1"/>
        <v>1456.640625</v>
      </c>
      <c r="G60" s="147">
        <f t="shared" si="2"/>
        <v>1.456640625E-3</v>
      </c>
    </row>
    <row r="61" spans="1:8" ht="15.75" thickBot="1">
      <c r="B61" s="96">
        <v>15</v>
      </c>
      <c r="C61" s="392"/>
      <c r="D61" s="96">
        <f t="shared" si="0"/>
        <v>2812.5</v>
      </c>
      <c r="E61" s="392"/>
      <c r="F61" s="96">
        <f t="shared" si="1"/>
        <v>2184.9609375</v>
      </c>
      <c r="G61" s="147">
        <f t="shared" si="2"/>
        <v>2.1849609375000001E-3</v>
      </c>
    </row>
    <row r="62" spans="1:8" ht="15.75" thickBot="1">
      <c r="B62" s="96">
        <v>10</v>
      </c>
      <c r="C62" s="392"/>
      <c r="D62" s="96">
        <f t="shared" si="0"/>
        <v>1875</v>
      </c>
      <c r="E62" s="392"/>
      <c r="F62" s="96">
        <f t="shared" si="1"/>
        <v>1456.640625</v>
      </c>
      <c r="G62" s="147">
        <f t="shared" si="2"/>
        <v>1.456640625E-3</v>
      </c>
    </row>
    <row r="63" spans="1:8" ht="15.75" thickBot="1">
      <c r="B63" s="96">
        <v>20</v>
      </c>
      <c r="C63" s="392"/>
      <c r="D63" s="96">
        <f t="shared" si="0"/>
        <v>3750</v>
      </c>
      <c r="E63" s="392"/>
      <c r="F63" s="96">
        <f t="shared" si="1"/>
        <v>2913.28125</v>
      </c>
      <c r="G63" s="147">
        <f t="shared" si="2"/>
        <v>2.9132812500000001E-3</v>
      </c>
    </row>
    <row r="64" spans="1:8" ht="16.5" thickBot="1">
      <c r="B64" s="107" t="s">
        <v>893</v>
      </c>
      <c r="C64" s="393"/>
      <c r="D64" s="107"/>
      <c r="E64" s="393"/>
      <c r="F64" s="153">
        <f>+SUM(F53:F63)</f>
        <v>54624.0234375</v>
      </c>
      <c r="G64" s="153">
        <f>+SUM(G53:G63)</f>
        <v>5.4624023437499988E-2</v>
      </c>
    </row>
    <row r="67" spans="2:5" ht="15.75">
      <c r="B67" s="368" t="s">
        <v>1413</v>
      </c>
      <c r="C67" s="368"/>
      <c r="D67" s="368"/>
      <c r="E67" s="368"/>
    </row>
    <row r="69" spans="2:5" ht="16.5" customHeight="1" thickBot="1">
      <c r="B69" s="377" t="s">
        <v>1555</v>
      </c>
      <c r="C69" s="378"/>
      <c r="D69" s="378"/>
    </row>
    <row r="70" spans="2:5" ht="16.5" thickBot="1">
      <c r="B70" s="77" t="s">
        <v>1539</v>
      </c>
      <c r="C70" s="77" t="s">
        <v>1540</v>
      </c>
      <c r="D70" s="77" t="s">
        <v>1556</v>
      </c>
    </row>
    <row r="71" spans="2:5" ht="15.75" thickBot="1">
      <c r="B71" s="96">
        <v>0.11267605633802817</v>
      </c>
      <c r="C71" s="96">
        <f>B71*F18</f>
        <v>984.11267605633805</v>
      </c>
      <c r="D71" s="164">
        <f>+C71/(1*10^6)</f>
        <v>9.8411267605633796E-4</v>
      </c>
    </row>
    <row r="73" spans="2:5" ht="15.75">
      <c r="B73" s="368" t="s">
        <v>1478</v>
      </c>
      <c r="C73" s="368"/>
      <c r="D73" s="368"/>
      <c r="E73" s="368"/>
    </row>
    <row r="75" spans="2:5" ht="16.5" thickBot="1">
      <c r="B75" s="377" t="s">
        <v>1555</v>
      </c>
      <c r="C75" s="378"/>
      <c r="D75" s="378"/>
    </row>
    <row r="76" spans="2:5" ht="16.5" thickBot="1">
      <c r="B76" s="77" t="s">
        <v>1543</v>
      </c>
      <c r="C76" s="77" t="s">
        <v>1540</v>
      </c>
      <c r="D76" s="77" t="s">
        <v>1556</v>
      </c>
    </row>
    <row r="77" spans="2:5" ht="15.75" thickBot="1">
      <c r="B77" s="96">
        <v>176.32653061224491</v>
      </c>
      <c r="C77" s="96">
        <f>B77*F29</f>
        <v>183379.5918367347</v>
      </c>
      <c r="D77" s="164">
        <f>+C77/(1*10^6)</f>
        <v>0.18337959183673472</v>
      </c>
    </row>
    <row r="79" spans="2:5" ht="15.75" thickBot="1"/>
    <row r="80" spans="2:5" ht="16.5" thickBot="1">
      <c r="B80" s="77" t="s">
        <v>1556</v>
      </c>
    </row>
    <row r="81" spans="2:8" ht="15.75" thickBot="1">
      <c r="B81" s="78">
        <f>D71+G64+D77</f>
        <v>0.23898772795029105</v>
      </c>
    </row>
    <row r="82" spans="2:8" ht="15.75" thickBot="1"/>
    <row r="83" spans="2:8" ht="16.5" customHeight="1" thickBot="1">
      <c r="B83" s="382" t="s">
        <v>1557</v>
      </c>
      <c r="C83" s="383"/>
      <c r="D83" s="383"/>
      <c r="E83" s="384"/>
    </row>
    <row r="84" spans="2:8" ht="16.5" thickBot="1">
      <c r="B84" s="107" t="s">
        <v>1558</v>
      </c>
      <c r="C84" s="107" t="s">
        <v>1456</v>
      </c>
      <c r="D84" s="107" t="s">
        <v>1559</v>
      </c>
      <c r="E84" s="107" t="s">
        <v>1560</v>
      </c>
    </row>
    <row r="85" spans="2:8" ht="15.75" thickBot="1">
      <c r="B85" s="96" t="s">
        <v>1561</v>
      </c>
      <c r="C85" s="148">
        <v>0.64</v>
      </c>
      <c r="D85" s="149">
        <v>0.46899999999999997</v>
      </c>
      <c r="E85" s="148">
        <f>+AVERAGE(C85:D85)</f>
        <v>0.55449999999999999</v>
      </c>
    </row>
    <row r="86" spans="2:8" ht="15.75" thickBot="1">
      <c r="B86" s="96" t="s">
        <v>1562</v>
      </c>
      <c r="C86" s="148">
        <v>0.12</v>
      </c>
      <c r="D86" s="149">
        <v>0.24199999999999999</v>
      </c>
      <c r="E86" s="148">
        <f t="shared" ref="E86:E94" si="3">+AVERAGE(C86:D86)</f>
        <v>0.18099999999999999</v>
      </c>
    </row>
    <row r="87" spans="2:8" ht="15.75" thickBot="1">
      <c r="B87" s="96" t="s">
        <v>1563</v>
      </c>
      <c r="C87" s="148">
        <v>0.1</v>
      </c>
      <c r="D87" s="149">
        <v>0.24399999999999999</v>
      </c>
      <c r="E87" s="148">
        <f t="shared" si="3"/>
        <v>0.17199999999999999</v>
      </c>
    </row>
    <row r="88" spans="2:8" ht="15.75" thickBot="1">
      <c r="B88" s="96" t="s">
        <v>1564</v>
      </c>
      <c r="C88" s="148">
        <v>0.03</v>
      </c>
      <c r="D88" s="149">
        <v>0.01</v>
      </c>
      <c r="E88" s="148">
        <f t="shared" si="3"/>
        <v>0.02</v>
      </c>
    </row>
    <row r="89" spans="2:8" ht="15.75" thickBot="1">
      <c r="B89" s="96" t="s">
        <v>1565</v>
      </c>
      <c r="C89" s="148">
        <v>0.03</v>
      </c>
      <c r="D89" s="149">
        <v>1.2E-2</v>
      </c>
      <c r="E89" s="148">
        <f t="shared" si="3"/>
        <v>2.0999999999999998E-2</v>
      </c>
    </row>
    <row r="90" spans="2:8" ht="15.75" thickBot="1">
      <c r="B90" s="96" t="s">
        <v>1566</v>
      </c>
      <c r="C90" s="148">
        <v>0.03</v>
      </c>
      <c r="D90" s="149">
        <v>3.0000000000000001E-3</v>
      </c>
      <c r="E90" s="148">
        <f t="shared" si="3"/>
        <v>1.6500000000000001E-2</v>
      </c>
    </row>
    <row r="91" spans="2:8" ht="15.75" thickBot="1">
      <c r="B91" s="96" t="s">
        <v>1567</v>
      </c>
      <c r="C91" s="148">
        <v>0.02</v>
      </c>
      <c r="D91" s="149">
        <v>6.0000000000000001E-3</v>
      </c>
      <c r="E91" s="148">
        <f t="shared" si="3"/>
        <v>1.3000000000000001E-2</v>
      </c>
    </row>
    <row r="92" spans="2:8" ht="15.75" thickBot="1">
      <c r="B92" s="96" t="s">
        <v>1568</v>
      </c>
      <c r="C92" s="148">
        <v>0.01</v>
      </c>
      <c r="D92" s="149">
        <v>1E-3</v>
      </c>
      <c r="E92" s="148">
        <f t="shared" si="3"/>
        <v>5.4999999999999997E-3</v>
      </c>
    </row>
    <row r="93" spans="2:8" ht="15.75" thickBot="1">
      <c r="B93" s="96" t="s">
        <v>1569</v>
      </c>
      <c r="C93" s="148">
        <v>0.01</v>
      </c>
      <c r="D93" s="149">
        <v>4.0000000000000001E-3</v>
      </c>
      <c r="E93" s="148">
        <f t="shared" si="3"/>
        <v>7.0000000000000001E-3</v>
      </c>
    </row>
    <row r="94" spans="2:8" ht="15.75" thickBot="1">
      <c r="B94" s="96" t="s">
        <v>1570</v>
      </c>
      <c r="C94" s="149">
        <v>6.0000000000000001E-3</v>
      </c>
      <c r="D94" s="149">
        <v>8.9999999999999993E-3</v>
      </c>
      <c r="E94" s="148">
        <f t="shared" si="3"/>
        <v>7.4999999999999997E-3</v>
      </c>
    </row>
    <row r="95" spans="2:8" ht="15.75" thickBot="1">
      <c r="E95" s="150"/>
    </row>
    <row r="96" spans="2:8" ht="21.75" customHeight="1">
      <c r="B96" s="402" t="s">
        <v>1571</v>
      </c>
      <c r="C96" s="403"/>
      <c r="D96" s="403"/>
      <c r="E96" s="404"/>
      <c r="H96" s="151"/>
    </row>
    <row r="97" spans="2:8" ht="25.5" customHeight="1" thickBot="1">
      <c r="B97" s="405"/>
      <c r="C97" s="406"/>
      <c r="D97" s="406"/>
      <c r="E97" s="407"/>
      <c r="H97" s="151"/>
    </row>
    <row r="98" spans="2:8" ht="15.75" thickBot="1">
      <c r="H98" s="151"/>
    </row>
    <row r="99" spans="2:8" ht="16.5" thickBot="1">
      <c r="B99" s="107" t="s">
        <v>1572</v>
      </c>
      <c r="C99" s="107" t="s">
        <v>1573</v>
      </c>
      <c r="D99" s="107" t="s">
        <v>1574</v>
      </c>
      <c r="E99" s="107" t="s">
        <v>1575</v>
      </c>
      <c r="H99" s="151"/>
    </row>
    <row r="100" spans="2:8" ht="15.75" thickBot="1">
      <c r="B100" s="96" t="s">
        <v>1576</v>
      </c>
      <c r="C100" s="96">
        <v>0.87</v>
      </c>
      <c r="D100" s="96">
        <v>0.54500000000000004</v>
      </c>
      <c r="E100" s="96">
        <v>0.65</v>
      </c>
      <c r="H100" s="151"/>
    </row>
    <row r="101" spans="2:8" ht="15.75" thickBot="1">
      <c r="B101" s="96" t="s">
        <v>1577</v>
      </c>
      <c r="C101" s="96">
        <v>0.65</v>
      </c>
      <c r="D101" s="96">
        <v>0.45</v>
      </c>
      <c r="E101" s="96">
        <v>0.5</v>
      </c>
    </row>
    <row r="102" spans="2:8" ht="15.75" thickBot="1">
      <c r="B102" s="96" t="s">
        <v>1578</v>
      </c>
      <c r="C102" s="96">
        <v>0.62</v>
      </c>
      <c r="D102" s="96">
        <v>0.315</v>
      </c>
      <c r="E102" s="96">
        <v>0.44</v>
      </c>
    </row>
    <row r="103" spans="2:8" ht="15.75" thickBot="1">
      <c r="B103" s="96" t="s">
        <v>1579</v>
      </c>
      <c r="C103" s="96">
        <v>0.39500000000000002</v>
      </c>
      <c r="D103" s="96">
        <v>0.23499999999999999</v>
      </c>
      <c r="E103" s="96">
        <v>0.36</v>
      </c>
    </row>
    <row r="104" spans="2:8" ht="15.75" thickBot="1">
      <c r="B104" s="96" t="s">
        <v>1580</v>
      </c>
      <c r="C104" s="96">
        <v>0.4</v>
      </c>
      <c r="D104" s="96">
        <v>0.24</v>
      </c>
      <c r="E104" s="96">
        <v>0.28999999999999998</v>
      </c>
    </row>
    <row r="105" spans="2:8" ht="15.75" thickBot="1">
      <c r="B105" s="96" t="s">
        <v>1581</v>
      </c>
      <c r="C105" s="96">
        <v>0.28000000000000003</v>
      </c>
      <c r="D105" s="96">
        <v>0.21</v>
      </c>
      <c r="E105" s="96">
        <v>0.22</v>
      </c>
    </row>
    <row r="106" spans="2:8" ht="15.75" thickBot="1">
      <c r="B106" s="96" t="s">
        <v>1582</v>
      </c>
      <c r="C106" s="96">
        <f>+(1.2+1.3)/2</f>
        <v>1.25</v>
      </c>
      <c r="D106" s="96">
        <v>1.2</v>
      </c>
      <c r="E106" s="96">
        <f>+(2+2.3)/2</f>
        <v>2.15</v>
      </c>
    </row>
    <row r="107" spans="2:8" ht="15.75" thickBot="1">
      <c r="B107" s="96" t="s">
        <v>1583</v>
      </c>
      <c r="C107" s="96">
        <f>+(1.5+2)/2</f>
        <v>1.75</v>
      </c>
      <c r="D107" s="96">
        <v>2.4</v>
      </c>
      <c r="E107" s="96">
        <f>+(6+6.5)/2</f>
        <v>6.25</v>
      </c>
    </row>
    <row r="108" spans="2:8" ht="15.75" thickBot="1">
      <c r="B108" s="96" t="s">
        <v>1584</v>
      </c>
      <c r="C108" s="96">
        <f>+AVERAGE(C100:C107)</f>
        <v>0.77687499999999998</v>
      </c>
      <c r="D108" s="96">
        <f>+AVERAGE(D100:D107)</f>
        <v>0.69937499999999997</v>
      </c>
      <c r="E108" s="96">
        <f>+AVERAGE(E100:E107)</f>
        <v>1.3574999999999999</v>
      </c>
    </row>
    <row r="110" spans="2:8" ht="30" customHeight="1">
      <c r="B110" s="408" t="s">
        <v>1585</v>
      </c>
      <c r="C110" s="408"/>
      <c r="D110" s="408"/>
      <c r="E110" s="408"/>
      <c r="F110" s="408"/>
      <c r="G110" s="408"/>
    </row>
    <row r="111" spans="2:8" ht="15.75" thickBot="1"/>
    <row r="112" spans="2:8" ht="16.5" thickBot="1">
      <c r="B112" s="375" t="s">
        <v>1586</v>
      </c>
      <c r="C112" s="376"/>
      <c r="D112" s="376"/>
      <c r="E112" s="376"/>
      <c r="F112" s="376"/>
    </row>
    <row r="113" spans="2:6" ht="48" thickBot="1">
      <c r="B113" s="77" t="s">
        <v>1558</v>
      </c>
      <c r="C113" s="77" t="s">
        <v>1587</v>
      </c>
      <c r="D113" s="77" t="s">
        <v>1588</v>
      </c>
      <c r="E113" s="77" t="s">
        <v>1589</v>
      </c>
      <c r="F113" s="77" t="s">
        <v>1590</v>
      </c>
    </row>
    <row r="114" spans="2:6" ht="15.75" thickBot="1">
      <c r="B114" s="96" t="s">
        <v>1591</v>
      </c>
      <c r="C114" s="149">
        <f>+E85</f>
        <v>0.55449999999999999</v>
      </c>
      <c r="D114" s="148">
        <v>0.15</v>
      </c>
      <c r="E114" s="148">
        <v>0.38</v>
      </c>
      <c r="F114" s="148">
        <v>0</v>
      </c>
    </row>
    <row r="115" spans="2:6" ht="15.75" thickBot="1">
      <c r="B115" s="96" t="s">
        <v>1592</v>
      </c>
      <c r="C115" s="149">
        <f>+E87</f>
        <v>0.17199999999999999</v>
      </c>
      <c r="D115" s="148">
        <v>0.4</v>
      </c>
      <c r="E115" s="148">
        <v>0.44</v>
      </c>
      <c r="F115" s="148">
        <v>0.01</v>
      </c>
    </row>
    <row r="116" spans="2:6" ht="15.75" thickBot="1">
      <c r="B116" s="96" t="s">
        <v>1593</v>
      </c>
      <c r="C116" s="149">
        <v>0</v>
      </c>
      <c r="D116" s="148">
        <v>0.43</v>
      </c>
      <c r="E116" s="148">
        <v>0.5</v>
      </c>
      <c r="F116" s="148">
        <v>0</v>
      </c>
    </row>
    <row r="117" spans="2:6" ht="15.75" thickBot="1">
      <c r="B117" s="96" t="s">
        <v>1566</v>
      </c>
      <c r="C117" s="149">
        <f>+E90</f>
        <v>1.6500000000000001E-2</v>
      </c>
      <c r="D117" s="148">
        <v>0.24</v>
      </c>
      <c r="E117" s="148">
        <v>0.3</v>
      </c>
      <c r="F117" s="148">
        <v>0.2</v>
      </c>
    </row>
    <row r="118" spans="2:6" ht="15.75" thickBot="1">
      <c r="B118" s="96" t="s">
        <v>1562</v>
      </c>
      <c r="C118" s="149">
        <f>+E86</f>
        <v>0.18099999999999999</v>
      </c>
      <c r="D118" s="148">
        <v>0</v>
      </c>
      <c r="E118" s="148">
        <v>0</v>
      </c>
      <c r="F118" s="148">
        <v>1</v>
      </c>
    </row>
    <row r="119" spans="2:6" ht="15.75" thickBot="1">
      <c r="B119" s="96" t="s">
        <v>1594</v>
      </c>
      <c r="C119" s="149">
        <f>+E91</f>
        <v>1.3000000000000001E-2</v>
      </c>
      <c r="D119" s="148">
        <v>0</v>
      </c>
      <c r="E119" s="148">
        <v>0</v>
      </c>
      <c r="F119" s="148">
        <v>0</v>
      </c>
    </row>
    <row r="120" spans="2:6" ht="15.75" thickBot="1">
      <c r="B120" s="96" t="s">
        <v>1564</v>
      </c>
      <c r="C120" s="149">
        <f>+E88</f>
        <v>0.02</v>
      </c>
      <c r="D120" s="148">
        <v>0</v>
      </c>
      <c r="E120" s="148">
        <v>0</v>
      </c>
      <c r="F120" s="148">
        <v>0</v>
      </c>
    </row>
    <row r="121" spans="2:6" ht="15.75" thickBot="1">
      <c r="B121" s="96" t="s">
        <v>1595</v>
      </c>
      <c r="C121" s="149">
        <f>+E89+E93+E94+E92</f>
        <v>4.0999999999999995E-2</v>
      </c>
      <c r="D121" s="148">
        <v>0</v>
      </c>
      <c r="E121" s="148">
        <v>0</v>
      </c>
      <c r="F121" s="148">
        <v>1</v>
      </c>
    </row>
    <row r="122" spans="2:6" ht="15.75" thickBot="1"/>
    <row r="123" spans="2:6" ht="28.5" customHeight="1" thickBot="1">
      <c r="B123" s="375" t="s">
        <v>1596</v>
      </c>
      <c r="C123" s="376"/>
      <c r="D123" s="376"/>
      <c r="E123" s="376"/>
      <c r="F123" s="394"/>
    </row>
    <row r="124" spans="2:6" ht="32.25" thickBot="1">
      <c r="B124" s="77" t="s">
        <v>1597</v>
      </c>
      <c r="C124" s="77" t="s">
        <v>1598</v>
      </c>
      <c r="D124" s="77" t="s">
        <v>1599</v>
      </c>
      <c r="E124" s="77" t="s">
        <v>1600</v>
      </c>
      <c r="F124" s="77" t="s">
        <v>1601</v>
      </c>
    </row>
    <row r="125" spans="2:6" ht="15.75" thickBot="1">
      <c r="B125" s="78">
        <f>+SUMPRODUCT(C114:C121,D114:D121)</f>
        <v>0.15593499999999999</v>
      </c>
      <c r="C125" s="78">
        <f>+SUMPRODUCT(C114:C121,E114:E121)</f>
        <v>0.29134000000000004</v>
      </c>
      <c r="D125" s="78">
        <f>+SUMPRODUCT(C114:C121,F114:F121)</f>
        <v>0.22702</v>
      </c>
      <c r="E125" s="78">
        <v>0.71</v>
      </c>
      <c r="F125" s="78">
        <f>44/12</f>
        <v>3.6666666666666665</v>
      </c>
    </row>
    <row r="133" spans="2:7" ht="32.25" customHeight="1">
      <c r="B133" s="408" t="s">
        <v>1602</v>
      </c>
      <c r="C133" s="408"/>
      <c r="D133" s="408"/>
      <c r="E133" s="408"/>
    </row>
    <row r="135" spans="2:7" ht="16.5" thickBot="1">
      <c r="B135" s="377" t="s">
        <v>1555</v>
      </c>
      <c r="C135" s="378"/>
      <c r="D135" s="378"/>
    </row>
    <row r="136" spans="2:7" ht="16.5" thickBot="1">
      <c r="B136" s="77" t="s">
        <v>1544</v>
      </c>
      <c r="C136" s="77" t="s">
        <v>1540</v>
      </c>
      <c r="D136" s="77" t="s">
        <v>1556</v>
      </c>
    </row>
    <row r="137" spans="2:7" ht="15.75" thickBot="1">
      <c r="B137" s="96">
        <v>73217.28571428571</v>
      </c>
      <c r="C137" s="96">
        <v>2709039.5714285714</v>
      </c>
      <c r="D137" s="78">
        <f>+C137/(1*10^6)</f>
        <v>2.7090395714285713</v>
      </c>
    </row>
    <row r="141" spans="2:7" ht="15.75">
      <c r="B141" s="381" t="s">
        <v>1603</v>
      </c>
      <c r="C141" s="381"/>
      <c r="D141" s="381"/>
      <c r="E141" s="381"/>
      <c r="F141" s="381"/>
      <c r="G141" s="381"/>
    </row>
    <row r="143" spans="2:7" ht="15.75">
      <c r="B143" s="368" t="s">
        <v>1413</v>
      </c>
      <c r="C143" s="368"/>
      <c r="D143" s="368"/>
      <c r="E143" s="368"/>
    </row>
    <row r="144" spans="2:7" ht="15.75" thickBot="1"/>
    <row r="145" spans="2:7" ht="16.5" thickBot="1">
      <c r="B145" s="375" t="s">
        <v>1604</v>
      </c>
      <c r="C145" s="376"/>
      <c r="D145" s="394"/>
    </row>
    <row r="146" spans="2:7" ht="16.5" thickBot="1">
      <c r="B146" s="77" t="s">
        <v>1539</v>
      </c>
      <c r="C146" s="77" t="s">
        <v>1540</v>
      </c>
      <c r="D146" s="77" t="s">
        <v>1556</v>
      </c>
      <c r="F146" s="375" t="s">
        <v>1605</v>
      </c>
      <c r="G146" s="394"/>
    </row>
    <row r="147" spans="2:7" ht="16.5" thickBot="1">
      <c r="B147" s="96">
        <v>11.977481126760564</v>
      </c>
      <c r="C147" s="96">
        <f>B147*G147</f>
        <v>104611.32016112676</v>
      </c>
      <c r="D147" s="96">
        <f>C147/(1*10^6)</f>
        <v>0.10461132016112676</v>
      </c>
      <c r="F147" s="107" t="s">
        <v>1422</v>
      </c>
      <c r="G147" s="96">
        <v>8734</v>
      </c>
    </row>
    <row r="148" spans="2:7" ht="15.75" thickBot="1"/>
    <row r="149" spans="2:7" ht="16.5" thickBot="1">
      <c r="B149" s="375" t="s">
        <v>1606</v>
      </c>
      <c r="C149" s="376"/>
      <c r="D149" s="394"/>
    </row>
    <row r="150" spans="2:7" ht="16.5" thickBot="1">
      <c r="B150" s="77" t="s">
        <v>1545</v>
      </c>
      <c r="C150" s="77" t="s">
        <v>1540</v>
      </c>
      <c r="D150" s="77" t="s">
        <v>1556</v>
      </c>
      <c r="F150" s="375" t="s">
        <v>1446</v>
      </c>
      <c r="G150" s="394"/>
    </row>
    <row r="151" spans="2:7" ht="16.5" thickBot="1">
      <c r="B151" s="96">
        <v>0.47619047619047616</v>
      </c>
      <c r="C151" s="96">
        <f>B151*G151</f>
        <v>14.285714285714285</v>
      </c>
      <c r="D151" s="96">
        <f>C151/(1*10^6)</f>
        <v>1.4285714285714285E-5</v>
      </c>
      <c r="F151" s="107" t="s">
        <v>1422</v>
      </c>
      <c r="G151" s="96">
        <v>30</v>
      </c>
    </row>
    <row r="152" spans="2:7" ht="15.75" thickBot="1"/>
    <row r="153" spans="2:7" ht="16.5" thickBot="1">
      <c r="B153" s="77" t="s">
        <v>1556</v>
      </c>
    </row>
    <row r="154" spans="2:7" ht="15.75" thickBot="1">
      <c r="B154" s="96">
        <f>D151+D147</f>
        <v>0.10462560587541248</v>
      </c>
    </row>
    <row r="157" spans="2:7" ht="33.75" customHeight="1">
      <c r="B157" s="408" t="s">
        <v>1607</v>
      </c>
      <c r="C157" s="408"/>
      <c r="D157" s="408"/>
      <c r="E157" s="408"/>
      <c r="F157" s="408"/>
      <c r="G157" s="408"/>
    </row>
    <row r="158" spans="2:7" ht="15.75" thickBot="1"/>
    <row r="159" spans="2:7" ht="33" customHeight="1" thickBot="1">
      <c r="B159" s="375" t="s">
        <v>1608</v>
      </c>
      <c r="C159" s="376"/>
      <c r="D159" s="394"/>
    </row>
    <row r="160" spans="2:7" ht="32.25" thickBot="1">
      <c r="B160" s="77" t="s">
        <v>1558</v>
      </c>
      <c r="C160" s="77" t="s">
        <v>1609</v>
      </c>
      <c r="D160" s="77" t="s">
        <v>1610</v>
      </c>
    </row>
    <row r="161" spans="2:4" ht="15.75" thickBot="1">
      <c r="B161" s="96" t="s">
        <v>1591</v>
      </c>
      <c r="C161" s="149">
        <f t="shared" ref="C161:C168" si="4">C114</f>
        <v>0.55449999999999999</v>
      </c>
      <c r="D161" s="148">
        <v>0.15</v>
      </c>
    </row>
    <row r="162" spans="2:4" ht="15.75" thickBot="1">
      <c r="B162" s="96" t="s">
        <v>1592</v>
      </c>
      <c r="C162" s="149">
        <f t="shared" si="4"/>
        <v>0.17199999999999999</v>
      </c>
      <c r="D162" s="148">
        <v>0.4</v>
      </c>
    </row>
    <row r="163" spans="2:4" ht="15.75" thickBot="1">
      <c r="B163" s="96" t="s">
        <v>1593</v>
      </c>
      <c r="C163" s="149">
        <f t="shared" si="4"/>
        <v>0</v>
      </c>
      <c r="D163" s="148">
        <v>0.43</v>
      </c>
    </row>
    <row r="164" spans="2:4" ht="15.75" thickBot="1">
      <c r="B164" s="96" t="s">
        <v>1566</v>
      </c>
      <c r="C164" s="149">
        <f t="shared" si="4"/>
        <v>1.6500000000000001E-2</v>
      </c>
      <c r="D164" s="148">
        <v>0.24</v>
      </c>
    </row>
    <row r="165" spans="2:4" ht="15.75" thickBot="1">
      <c r="B165" s="96" t="s">
        <v>1562</v>
      </c>
      <c r="C165" s="149">
        <f t="shared" si="4"/>
        <v>0.18099999999999999</v>
      </c>
      <c r="D165" s="148">
        <v>0</v>
      </c>
    </row>
    <row r="166" spans="2:4" ht="15.75" thickBot="1">
      <c r="B166" s="96" t="s">
        <v>1594</v>
      </c>
      <c r="C166" s="149">
        <f t="shared" si="4"/>
        <v>1.3000000000000001E-2</v>
      </c>
      <c r="D166" s="148">
        <v>0</v>
      </c>
    </row>
    <row r="167" spans="2:4" ht="15.75" thickBot="1">
      <c r="B167" s="96" t="s">
        <v>1564</v>
      </c>
      <c r="C167" s="149">
        <f t="shared" si="4"/>
        <v>0.02</v>
      </c>
      <c r="D167" s="148">
        <v>0</v>
      </c>
    </row>
    <row r="168" spans="2:4" ht="26.25" thickBot="1">
      <c r="B168" s="96" t="s">
        <v>1611</v>
      </c>
      <c r="C168" s="149">
        <f t="shared" si="4"/>
        <v>4.0999999999999995E-2</v>
      </c>
      <c r="D168" s="148">
        <v>0</v>
      </c>
    </row>
    <row r="169" spans="2:4" ht="15.75" thickBot="1"/>
    <row r="170" spans="2:4" ht="15.75" thickBot="1">
      <c r="B170" s="371" t="s">
        <v>1612</v>
      </c>
      <c r="C170" s="372"/>
      <c r="D170" s="96">
        <f>(C161*D161)+(C162*D162)+(C163*D163)+(C164*D164)+(C165*D165)+(C166*D166)+(C167*D167)+(C168*D168)</f>
        <v>0.15593499999999999</v>
      </c>
    </row>
    <row r="171" spans="2:4" ht="15.75" thickBot="1"/>
    <row r="172" spans="2:4" ht="36" customHeight="1" thickBot="1">
      <c r="B172" s="375" t="s">
        <v>1613</v>
      </c>
      <c r="C172" s="394"/>
    </row>
    <row r="173" spans="2:4" ht="16.5" thickBot="1">
      <c r="B173" s="77" t="s">
        <v>1614</v>
      </c>
      <c r="C173" s="77" t="s">
        <v>1467</v>
      </c>
    </row>
    <row r="174" spans="2:4" ht="26.25" thickBot="1">
      <c r="B174" s="96" t="s">
        <v>1615</v>
      </c>
      <c r="C174" s="96">
        <v>0.5</v>
      </c>
    </row>
    <row r="175" spans="2:4" ht="26.25" thickBot="1">
      <c r="B175" s="96" t="s">
        <v>1616</v>
      </c>
      <c r="C175" s="96">
        <v>0.4</v>
      </c>
    </row>
    <row r="176" spans="2:4" ht="15.75" thickBot="1">
      <c r="B176" s="96" t="s">
        <v>1617</v>
      </c>
      <c r="C176" s="96">
        <f>D170</f>
        <v>0.15593499999999999</v>
      </c>
    </row>
    <row r="177" spans="2:18" ht="15.75" thickBot="1"/>
    <row r="178" spans="2:18" ht="33.75" customHeight="1" thickBot="1">
      <c r="B178" s="371" t="s">
        <v>1618</v>
      </c>
      <c r="C178" s="372"/>
      <c r="D178" s="168">
        <f>B154*C176*C174*C175</f>
        <v>3.2629587704364887E-3</v>
      </c>
    </row>
    <row r="179" spans="2:18" ht="15.75" thickBot="1"/>
    <row r="180" spans="2:18" ht="30" customHeight="1" thickBot="1">
      <c r="B180" s="375" t="s">
        <v>1619</v>
      </c>
      <c r="C180" s="394"/>
    </row>
    <row r="181" spans="2:18" ht="48" thickBot="1">
      <c r="B181" s="77" t="s">
        <v>1620</v>
      </c>
      <c r="C181" s="77" t="s">
        <v>1621</v>
      </c>
    </row>
    <row r="182" spans="2:18" ht="15.75" thickBot="1">
      <c r="B182" s="78">
        <v>0.5</v>
      </c>
      <c r="C182" s="78">
        <f>16/12</f>
        <v>1.3333333333333333</v>
      </c>
    </row>
    <row r="185" spans="2:18" ht="15.75">
      <c r="B185" s="381" t="s">
        <v>1622</v>
      </c>
      <c r="C185" s="381"/>
      <c r="D185" s="381"/>
      <c r="E185" s="381"/>
      <c r="F185" s="381"/>
      <c r="G185" s="381"/>
      <c r="H185" s="381"/>
      <c r="I185" s="381"/>
      <c r="J185" s="381"/>
    </row>
    <row r="187" spans="2:18" ht="15.75">
      <c r="B187" s="368" t="s">
        <v>1623</v>
      </c>
      <c r="C187" s="368"/>
      <c r="D187" s="368"/>
      <c r="E187" s="368"/>
    </row>
    <row r="189" spans="2:18" ht="16.5" customHeight="1" thickBot="1">
      <c r="B189" s="377" t="s">
        <v>1624</v>
      </c>
      <c r="C189" s="378"/>
      <c r="D189" s="378"/>
      <c r="E189" s="378"/>
      <c r="F189" s="378"/>
      <c r="G189" s="378"/>
      <c r="H189" s="378"/>
      <c r="I189" s="378"/>
      <c r="J189" s="378"/>
      <c r="K189" s="378"/>
      <c r="L189" s="378"/>
      <c r="M189" s="378"/>
      <c r="N189" s="378"/>
      <c r="O189" s="378"/>
      <c r="P189" s="378"/>
      <c r="Q189" s="378"/>
      <c r="R189" s="378"/>
    </row>
    <row r="190" spans="2:18" ht="16.5" customHeight="1" thickBot="1">
      <c r="B190" s="400" t="s">
        <v>1625</v>
      </c>
      <c r="C190" s="375" t="s">
        <v>1626</v>
      </c>
      <c r="D190" s="376"/>
      <c r="E190" s="376"/>
      <c r="F190" s="376"/>
      <c r="G190" s="394"/>
      <c r="H190" s="400" t="s">
        <v>1627</v>
      </c>
      <c r="I190" s="375" t="s">
        <v>1628</v>
      </c>
      <c r="J190" s="376"/>
      <c r="K190" s="376"/>
      <c r="L190" s="376"/>
      <c r="M190" s="394"/>
      <c r="N190" s="400" t="s">
        <v>1629</v>
      </c>
      <c r="O190" s="400" t="s">
        <v>1630</v>
      </c>
      <c r="P190" s="400" t="s">
        <v>1631</v>
      </c>
      <c r="Q190" s="400" t="s">
        <v>1632</v>
      </c>
      <c r="R190" s="400" t="s">
        <v>1633</v>
      </c>
    </row>
    <row r="191" spans="2:18" ht="16.5" thickBot="1">
      <c r="B191" s="401"/>
      <c r="C191" s="77" t="s">
        <v>1634</v>
      </c>
      <c r="D191" s="77" t="s">
        <v>1635</v>
      </c>
      <c r="E191" s="77" t="s">
        <v>1636</v>
      </c>
      <c r="F191" s="77" t="s">
        <v>1637</v>
      </c>
      <c r="G191" s="77" t="s">
        <v>1584</v>
      </c>
      <c r="H191" s="401"/>
      <c r="I191" s="77" t="s">
        <v>1634</v>
      </c>
      <c r="J191" s="77" t="s">
        <v>1635</v>
      </c>
      <c r="K191" s="77" t="s">
        <v>1636</v>
      </c>
      <c r="L191" s="77" t="s">
        <v>1637</v>
      </c>
      <c r="M191" s="77" t="s">
        <v>1584</v>
      </c>
      <c r="N191" s="401"/>
      <c r="O191" s="401"/>
      <c r="P191" s="401"/>
      <c r="Q191" s="401"/>
      <c r="R191" s="401"/>
    </row>
    <row r="192" spans="2:18" ht="15.75" thickBot="1">
      <c r="B192" s="96" t="s">
        <v>1638</v>
      </c>
      <c r="C192" s="96">
        <v>2077</v>
      </c>
      <c r="D192" s="96">
        <v>2115</v>
      </c>
      <c r="E192" s="96">
        <v>1694</v>
      </c>
      <c r="F192" s="96">
        <v>2101</v>
      </c>
      <c r="G192" s="96">
        <f>AVERAGE(C192:F192)</f>
        <v>1996.75</v>
      </c>
      <c r="H192" s="96">
        <f>G192*365</f>
        <v>728813.75</v>
      </c>
      <c r="I192" s="96">
        <v>51</v>
      </c>
      <c r="J192" s="96">
        <v>47</v>
      </c>
      <c r="K192" s="96">
        <v>38</v>
      </c>
      <c r="L192" s="96">
        <v>72</v>
      </c>
      <c r="M192" s="96">
        <f t="shared" ref="M192:M197" si="5">(C192*I192+D192*J192+E192*K192+F192*L192)/(C192+D192+E192+F192)</f>
        <v>52.7076499311381</v>
      </c>
      <c r="N192" s="96">
        <f>M192*(1/1000)*H192</f>
        <v>38414.06</v>
      </c>
      <c r="O192" s="96">
        <v>0.85</v>
      </c>
      <c r="P192" s="96">
        <f>N192/O192</f>
        <v>45193.01176470588</v>
      </c>
      <c r="Q192" s="96">
        <f>P192-N192</f>
        <v>6778.9517647058819</v>
      </c>
      <c r="R192" s="96" t="s">
        <v>1639</v>
      </c>
    </row>
    <row r="193" spans="2:18" ht="15.75" thickBot="1">
      <c r="B193" s="96" t="s">
        <v>1640</v>
      </c>
      <c r="C193" s="96">
        <v>1152</v>
      </c>
      <c r="D193" s="96">
        <v>1215</v>
      </c>
      <c r="E193" s="96">
        <v>1236</v>
      </c>
      <c r="F193" s="96">
        <v>1244</v>
      </c>
      <c r="G193" s="96">
        <f t="shared" ref="G193:G208" si="6">AVERAGE(C193:F193)</f>
        <v>1211.75</v>
      </c>
      <c r="H193" s="96">
        <f t="shared" ref="H193:H208" si="7">G193*365</f>
        <v>442288.75</v>
      </c>
      <c r="I193" s="96">
        <v>198</v>
      </c>
      <c r="J193" s="96">
        <v>135</v>
      </c>
      <c r="K193" s="96">
        <v>104</v>
      </c>
      <c r="L193" s="96">
        <v>73</v>
      </c>
      <c r="M193" s="96">
        <f t="shared" si="5"/>
        <v>126.15576645347637</v>
      </c>
      <c r="N193" s="96">
        <f t="shared" ref="N193:N208" si="8">M193*(1/1000)*H193</f>
        <v>55797.276249999995</v>
      </c>
      <c r="O193" s="96">
        <v>0.85</v>
      </c>
      <c r="P193" s="96">
        <f t="shared" ref="P193:P208" si="9">N193/O193</f>
        <v>65643.854411764696</v>
      </c>
      <c r="Q193" s="96">
        <f t="shared" ref="Q193:Q208" si="10">P193-N193</f>
        <v>9846.5781617647008</v>
      </c>
      <c r="R193" s="96" t="s">
        <v>1641</v>
      </c>
    </row>
    <row r="194" spans="2:18" ht="15.75" thickBot="1">
      <c r="B194" s="96" t="s">
        <v>1642</v>
      </c>
      <c r="C194" s="96">
        <v>25</v>
      </c>
      <c r="D194" s="96">
        <v>25</v>
      </c>
      <c r="E194" s="96"/>
      <c r="F194" s="96"/>
      <c r="G194" s="96">
        <f t="shared" si="6"/>
        <v>25</v>
      </c>
      <c r="H194" s="96">
        <f t="shared" si="7"/>
        <v>9125</v>
      </c>
      <c r="I194" s="96">
        <v>240</v>
      </c>
      <c r="J194" s="96">
        <v>78</v>
      </c>
      <c r="K194" s="96"/>
      <c r="L194" s="96"/>
      <c r="M194" s="96">
        <f t="shared" si="5"/>
        <v>159</v>
      </c>
      <c r="N194" s="96">
        <f t="shared" si="8"/>
        <v>1450.875</v>
      </c>
      <c r="O194" s="96">
        <v>0.9</v>
      </c>
      <c r="P194" s="96">
        <f t="shared" si="9"/>
        <v>1612.0833333333333</v>
      </c>
      <c r="Q194" s="96">
        <f t="shared" si="10"/>
        <v>161.20833333333326</v>
      </c>
      <c r="R194" s="96" t="s">
        <v>1643</v>
      </c>
    </row>
    <row r="195" spans="2:18" ht="15.75" thickBot="1">
      <c r="B195" s="96" t="s">
        <v>1644</v>
      </c>
      <c r="C195" s="96">
        <v>144</v>
      </c>
      <c r="D195" s="96">
        <v>171.03</v>
      </c>
      <c r="E195" s="96"/>
      <c r="F195" s="96"/>
      <c r="G195" s="96">
        <f t="shared" si="6"/>
        <v>157.51499999999999</v>
      </c>
      <c r="H195" s="96">
        <f t="shared" si="7"/>
        <v>57492.974999999999</v>
      </c>
      <c r="I195" s="96">
        <v>45</v>
      </c>
      <c r="J195" s="96">
        <v>52</v>
      </c>
      <c r="K195" s="96"/>
      <c r="L195" s="96"/>
      <c r="M195" s="96">
        <f t="shared" si="5"/>
        <v>48.800304732882587</v>
      </c>
      <c r="N195" s="96">
        <f t="shared" si="8"/>
        <v>2805.6747000000005</v>
      </c>
      <c r="O195" s="96">
        <v>0.9</v>
      </c>
      <c r="P195" s="96">
        <f t="shared" si="9"/>
        <v>3117.4163333333336</v>
      </c>
      <c r="Q195" s="96">
        <f t="shared" si="10"/>
        <v>311.74163333333308</v>
      </c>
      <c r="R195" s="96" t="s">
        <v>1643</v>
      </c>
    </row>
    <row r="196" spans="2:18" ht="15.75" thickBot="1">
      <c r="B196" s="96" t="s">
        <v>1645</v>
      </c>
      <c r="C196" s="96">
        <v>72</v>
      </c>
      <c r="D196" s="96">
        <v>56</v>
      </c>
      <c r="E196" s="96">
        <v>94</v>
      </c>
      <c r="F196" s="96">
        <v>70</v>
      </c>
      <c r="G196" s="96">
        <f t="shared" si="6"/>
        <v>73</v>
      </c>
      <c r="H196" s="96">
        <f t="shared" si="7"/>
        <v>26645</v>
      </c>
      <c r="I196" s="96">
        <v>128</v>
      </c>
      <c r="J196" s="96">
        <v>157</v>
      </c>
      <c r="K196" s="96">
        <v>161</v>
      </c>
      <c r="L196" s="96">
        <v>105</v>
      </c>
      <c r="M196" s="96">
        <f t="shared" si="5"/>
        <v>138.67123287671234</v>
      </c>
      <c r="N196" s="96">
        <f t="shared" si="8"/>
        <v>3694.8950000000004</v>
      </c>
      <c r="O196" s="96">
        <v>0.85</v>
      </c>
      <c r="P196" s="96">
        <f t="shared" si="9"/>
        <v>4346.9352941176476</v>
      </c>
      <c r="Q196" s="96">
        <f t="shared" si="10"/>
        <v>652.04029411764714</v>
      </c>
      <c r="R196" s="96" t="s">
        <v>1643</v>
      </c>
    </row>
    <row r="197" spans="2:18" ht="15.75" thickBot="1">
      <c r="B197" s="96" t="s">
        <v>1646</v>
      </c>
      <c r="C197" s="96">
        <v>144</v>
      </c>
      <c r="D197" s="96">
        <v>54.73</v>
      </c>
      <c r="E197" s="96">
        <v>43.2</v>
      </c>
      <c r="F197" s="96"/>
      <c r="G197" s="96">
        <f t="shared" si="6"/>
        <v>80.643333333333331</v>
      </c>
      <c r="H197" s="96">
        <f t="shared" si="7"/>
        <v>29434.816666666666</v>
      </c>
      <c r="I197" s="96">
        <v>49.6</v>
      </c>
      <c r="J197" s="96">
        <v>85</v>
      </c>
      <c r="K197" s="96">
        <v>14.2</v>
      </c>
      <c r="L197" s="96"/>
      <c r="M197" s="96">
        <f t="shared" si="5"/>
        <v>51.287107841111066</v>
      </c>
      <c r="N197" s="96">
        <f t="shared" si="8"/>
        <v>1509.6266166666667</v>
      </c>
      <c r="O197" s="96">
        <v>0.9</v>
      </c>
      <c r="P197" s="96">
        <f t="shared" si="9"/>
        <v>1677.3629074074074</v>
      </c>
      <c r="Q197" s="96">
        <f t="shared" si="10"/>
        <v>167.73629074074074</v>
      </c>
      <c r="R197" s="96" t="s">
        <v>1643</v>
      </c>
    </row>
    <row r="198" spans="2:18" ht="15.75" thickBot="1">
      <c r="B198" s="96" t="s">
        <v>1647</v>
      </c>
      <c r="C198" s="96">
        <v>23</v>
      </c>
      <c r="D198" s="96" t="s">
        <v>1648</v>
      </c>
      <c r="E198" s="96"/>
      <c r="F198" s="96"/>
      <c r="G198" s="96">
        <f t="shared" si="6"/>
        <v>23</v>
      </c>
      <c r="H198" s="96">
        <f t="shared" si="7"/>
        <v>8395</v>
      </c>
      <c r="I198" s="96">
        <v>24</v>
      </c>
      <c r="J198" s="96" t="s">
        <v>1648</v>
      </c>
      <c r="K198" s="96"/>
      <c r="L198" s="96"/>
      <c r="M198" s="96">
        <f>(C198*I198)/(C198)</f>
        <v>24</v>
      </c>
      <c r="N198" s="96">
        <f t="shared" si="8"/>
        <v>201.48000000000002</v>
      </c>
      <c r="O198" s="96">
        <v>0.85</v>
      </c>
      <c r="P198" s="96">
        <f t="shared" si="9"/>
        <v>237.03529411764708</v>
      </c>
      <c r="Q198" s="96">
        <f t="shared" si="10"/>
        <v>35.555294117647065</v>
      </c>
      <c r="R198" s="96" t="s">
        <v>1649</v>
      </c>
    </row>
    <row r="199" spans="2:18" ht="15.75" thickBot="1">
      <c r="B199" s="96" t="s">
        <v>1650</v>
      </c>
      <c r="C199" s="96">
        <v>200</v>
      </c>
      <c r="D199" s="96" t="s">
        <v>1648</v>
      </c>
      <c r="E199" s="96"/>
      <c r="F199" s="96"/>
      <c r="G199" s="96">
        <f t="shared" si="6"/>
        <v>200</v>
      </c>
      <c r="H199" s="96">
        <f t="shared" si="7"/>
        <v>73000</v>
      </c>
      <c r="I199" s="96">
        <v>15</v>
      </c>
      <c r="J199" s="96" t="s">
        <v>1648</v>
      </c>
      <c r="K199" s="96"/>
      <c r="L199" s="96"/>
      <c r="M199" s="96">
        <f>(C199*I199)/(C199)</f>
        <v>15</v>
      </c>
      <c r="N199" s="96">
        <f t="shared" si="8"/>
        <v>1095</v>
      </c>
      <c r="O199" s="96">
        <v>0.85</v>
      </c>
      <c r="P199" s="96">
        <f t="shared" si="9"/>
        <v>1288.2352941176471</v>
      </c>
      <c r="Q199" s="96">
        <f t="shared" si="10"/>
        <v>193.23529411764707</v>
      </c>
      <c r="R199" s="96" t="s">
        <v>1643</v>
      </c>
    </row>
    <row r="200" spans="2:18" ht="15.75" thickBot="1">
      <c r="B200" s="96" t="s">
        <v>1651</v>
      </c>
      <c r="C200" s="96">
        <v>10</v>
      </c>
      <c r="D200" s="96" t="s">
        <v>1648</v>
      </c>
      <c r="E200" s="96"/>
      <c r="F200" s="96"/>
      <c r="G200" s="96">
        <f t="shared" si="6"/>
        <v>10</v>
      </c>
      <c r="H200" s="96">
        <f t="shared" si="7"/>
        <v>3650</v>
      </c>
      <c r="I200" s="96">
        <v>149</v>
      </c>
      <c r="J200" s="96" t="s">
        <v>1648</v>
      </c>
      <c r="K200" s="96"/>
      <c r="L200" s="96"/>
      <c r="M200" s="96">
        <f>(C200*I200)/(C200)</f>
        <v>149</v>
      </c>
      <c r="N200" s="96">
        <f t="shared" si="8"/>
        <v>543.85</v>
      </c>
      <c r="O200" s="96">
        <v>0.85</v>
      </c>
      <c r="P200" s="96">
        <f t="shared" si="9"/>
        <v>639.82352941176475</v>
      </c>
      <c r="Q200" s="96">
        <f t="shared" si="10"/>
        <v>95.97352941176473</v>
      </c>
      <c r="R200" s="96" t="s">
        <v>1643</v>
      </c>
    </row>
    <row r="201" spans="2:18" ht="15.75" thickBot="1">
      <c r="B201" s="96" t="s">
        <v>1652</v>
      </c>
      <c r="C201" s="96">
        <v>154</v>
      </c>
      <c r="D201" s="96">
        <v>146</v>
      </c>
      <c r="E201" s="96">
        <v>221</v>
      </c>
      <c r="F201" s="96">
        <v>222</v>
      </c>
      <c r="G201" s="96">
        <f t="shared" si="6"/>
        <v>185.75</v>
      </c>
      <c r="H201" s="96">
        <f t="shared" si="7"/>
        <v>67798.75</v>
      </c>
      <c r="I201" s="96">
        <v>30</v>
      </c>
      <c r="J201" s="96">
        <v>19</v>
      </c>
      <c r="K201" s="96">
        <v>16</v>
      </c>
      <c r="L201" s="96">
        <v>71</v>
      </c>
      <c r="M201" s="96">
        <f>(C201*I201+D201*J201+E201*K201+F201*L201)/(C201+D201+E201+F201)</f>
        <v>35.924629878869446</v>
      </c>
      <c r="N201" s="96">
        <f t="shared" si="8"/>
        <v>2435.645</v>
      </c>
      <c r="O201" s="96">
        <v>0.85</v>
      </c>
      <c r="P201" s="96">
        <f t="shared" si="9"/>
        <v>2865.464705882353</v>
      </c>
      <c r="Q201" s="96">
        <f t="shared" si="10"/>
        <v>429.81970588235299</v>
      </c>
      <c r="R201" s="96" t="s">
        <v>1643</v>
      </c>
    </row>
    <row r="202" spans="2:18" ht="15.75" thickBot="1">
      <c r="B202" s="96" t="s">
        <v>1653</v>
      </c>
      <c r="C202" s="96">
        <v>23.8</v>
      </c>
      <c r="D202" s="96">
        <v>26.2</v>
      </c>
      <c r="E202" s="96"/>
      <c r="F202" s="96"/>
      <c r="G202" s="96">
        <f t="shared" si="6"/>
        <v>25</v>
      </c>
      <c r="H202" s="96">
        <f t="shared" si="7"/>
        <v>9125</v>
      </c>
      <c r="I202" s="96">
        <v>17.100000000000001</v>
      </c>
      <c r="J202" s="96">
        <v>67.2</v>
      </c>
      <c r="K202" s="96"/>
      <c r="L202" s="96"/>
      <c r="M202" s="96">
        <f>(C202*I202+D202*J202+E202*K202+F202*L202)/(C202+D202+E202+F202)</f>
        <v>43.352399999999996</v>
      </c>
      <c r="N202" s="96">
        <f t="shared" si="8"/>
        <v>395.59064999999998</v>
      </c>
      <c r="O202" s="96">
        <v>0.85</v>
      </c>
      <c r="P202" s="96">
        <f t="shared" si="9"/>
        <v>465.40076470588235</v>
      </c>
      <c r="Q202" s="96">
        <f t="shared" si="10"/>
        <v>69.81011470588237</v>
      </c>
      <c r="R202" s="96" t="s">
        <v>1649</v>
      </c>
    </row>
    <row r="203" spans="2:18" ht="15.75" thickBot="1">
      <c r="B203" s="96" t="s">
        <v>1654</v>
      </c>
      <c r="C203" s="96">
        <v>1.5</v>
      </c>
      <c r="D203" s="96">
        <v>4</v>
      </c>
      <c r="E203" s="96"/>
      <c r="F203" s="96"/>
      <c r="G203" s="96">
        <f t="shared" si="6"/>
        <v>2.75</v>
      </c>
      <c r="H203" s="96">
        <f t="shared" si="7"/>
        <v>1003.75</v>
      </c>
      <c r="I203" s="96">
        <v>133</v>
      </c>
      <c r="J203" s="96">
        <v>50</v>
      </c>
      <c r="K203" s="96"/>
      <c r="L203" s="96"/>
      <c r="M203" s="96">
        <f>(C203*I203+D203*J203+E203*K203+F203*L203)/(C203+D203+E203+F203)</f>
        <v>72.63636363636364</v>
      </c>
      <c r="N203" s="96">
        <f t="shared" si="8"/>
        <v>72.908749999999998</v>
      </c>
      <c r="O203" s="96">
        <v>0.85</v>
      </c>
      <c r="P203" s="96">
        <f t="shared" si="9"/>
        <v>85.775000000000006</v>
      </c>
      <c r="Q203" s="96">
        <f t="shared" si="10"/>
        <v>12.866250000000008</v>
      </c>
      <c r="R203" s="96" t="s">
        <v>1643</v>
      </c>
    </row>
    <row r="204" spans="2:18" ht="15.75" thickBot="1">
      <c r="B204" s="96" t="s">
        <v>1655</v>
      </c>
      <c r="C204" s="96">
        <v>10.9</v>
      </c>
      <c r="D204" s="96"/>
      <c r="E204" s="96"/>
      <c r="F204" s="96"/>
      <c r="G204" s="96">
        <f t="shared" si="6"/>
        <v>10.9</v>
      </c>
      <c r="H204" s="96">
        <f t="shared" si="7"/>
        <v>3978.5</v>
      </c>
      <c r="I204" s="96">
        <v>17</v>
      </c>
      <c r="J204" s="96"/>
      <c r="K204" s="96"/>
      <c r="L204" s="96"/>
      <c r="M204" s="96">
        <f>(C204*I204+D204*J204+E204*K204+F204*L204)/(C204+D204+E204+F204)</f>
        <v>17</v>
      </c>
      <c r="N204" s="96">
        <f t="shared" si="8"/>
        <v>67.634500000000003</v>
      </c>
      <c r="O204" s="96">
        <v>0.85</v>
      </c>
      <c r="P204" s="96">
        <f t="shared" si="9"/>
        <v>79.570000000000007</v>
      </c>
      <c r="Q204" s="96">
        <f t="shared" si="10"/>
        <v>11.935500000000005</v>
      </c>
      <c r="R204" s="96" t="s">
        <v>1643</v>
      </c>
    </row>
    <row r="205" spans="2:18" ht="15.75" thickBot="1">
      <c r="B205" s="96" t="s">
        <v>1656</v>
      </c>
      <c r="C205" s="96">
        <v>1.2</v>
      </c>
      <c r="D205" s="96">
        <v>1.3</v>
      </c>
      <c r="E205" s="96"/>
      <c r="F205" s="96"/>
      <c r="G205" s="96">
        <f t="shared" si="6"/>
        <v>1.25</v>
      </c>
      <c r="H205" s="96">
        <f t="shared" si="7"/>
        <v>456.25</v>
      </c>
      <c r="I205" s="96">
        <v>7.8</v>
      </c>
      <c r="J205" s="96">
        <v>15</v>
      </c>
      <c r="K205" s="96"/>
      <c r="L205" s="96"/>
      <c r="M205" s="96">
        <f>(C205*I205+D205*J205+E205*K205+F205*L205)/(C205+D205+E205+F205)</f>
        <v>11.544</v>
      </c>
      <c r="N205" s="96">
        <f t="shared" si="8"/>
        <v>5.2669500000000005</v>
      </c>
      <c r="O205" s="96">
        <v>0.85</v>
      </c>
      <c r="P205" s="96">
        <f t="shared" si="9"/>
        <v>6.196411764705883</v>
      </c>
      <c r="Q205" s="96">
        <f t="shared" si="10"/>
        <v>0.92946176470588249</v>
      </c>
      <c r="R205" s="96" t="s">
        <v>1657</v>
      </c>
    </row>
    <row r="206" spans="2:18" ht="15.75" thickBot="1">
      <c r="B206" s="96" t="s">
        <v>1658</v>
      </c>
      <c r="C206" s="96">
        <v>25</v>
      </c>
      <c r="D206" s="96" t="s">
        <v>1648</v>
      </c>
      <c r="E206" s="96"/>
      <c r="F206" s="96"/>
      <c r="G206" s="96">
        <f t="shared" si="6"/>
        <v>25</v>
      </c>
      <c r="H206" s="96">
        <f t="shared" si="7"/>
        <v>9125</v>
      </c>
      <c r="I206" s="96">
        <v>29</v>
      </c>
      <c r="J206" s="96" t="s">
        <v>1648</v>
      </c>
      <c r="K206" s="96"/>
      <c r="L206" s="96"/>
      <c r="M206" s="96">
        <f>(C206*I206)/(C206)</f>
        <v>29</v>
      </c>
      <c r="N206" s="96">
        <f t="shared" si="8"/>
        <v>264.625</v>
      </c>
      <c r="O206" s="96">
        <v>0.85</v>
      </c>
      <c r="P206" s="96">
        <f t="shared" si="9"/>
        <v>311.3235294117647</v>
      </c>
      <c r="Q206" s="96">
        <f t="shared" si="10"/>
        <v>46.698529411764696</v>
      </c>
      <c r="R206" s="96" t="s">
        <v>1643</v>
      </c>
    </row>
    <row r="207" spans="2:18" ht="15.75" thickBot="1">
      <c r="B207" s="96" t="s">
        <v>1659</v>
      </c>
      <c r="C207" s="96">
        <v>94</v>
      </c>
      <c r="D207" s="96">
        <v>144</v>
      </c>
      <c r="E207" s="96"/>
      <c r="F207" s="96"/>
      <c r="G207" s="96">
        <f t="shared" si="6"/>
        <v>119</v>
      </c>
      <c r="H207" s="96">
        <f t="shared" si="7"/>
        <v>43435</v>
      </c>
      <c r="I207" s="96">
        <v>11</v>
      </c>
      <c r="J207" s="96">
        <v>26</v>
      </c>
      <c r="K207" s="96"/>
      <c r="L207" s="96"/>
      <c r="M207" s="96">
        <f>(C207*I207+D207*J207+E207*K207+F207*L207)/(C207+D207+E207+F207)</f>
        <v>20.07563025210084</v>
      </c>
      <c r="N207" s="96">
        <f t="shared" si="8"/>
        <v>871.98500000000001</v>
      </c>
      <c r="O207" s="96">
        <v>0.9</v>
      </c>
      <c r="P207" s="96">
        <f t="shared" si="9"/>
        <v>968.87222222222226</v>
      </c>
      <c r="Q207" s="96">
        <f t="shared" si="10"/>
        <v>96.887222222222249</v>
      </c>
      <c r="R207" s="96" t="s">
        <v>1639</v>
      </c>
    </row>
    <row r="208" spans="2:18" ht="15.75" thickBot="1">
      <c r="B208" s="96" t="s">
        <v>1660</v>
      </c>
      <c r="C208" s="96">
        <v>172</v>
      </c>
      <c r="D208" s="96">
        <v>122</v>
      </c>
      <c r="E208" s="96"/>
      <c r="F208" s="96"/>
      <c r="G208" s="96">
        <f t="shared" si="6"/>
        <v>147</v>
      </c>
      <c r="H208" s="96">
        <f t="shared" si="7"/>
        <v>53655</v>
      </c>
      <c r="I208" s="96">
        <v>32</v>
      </c>
      <c r="J208" s="96">
        <v>24</v>
      </c>
      <c r="K208" s="96"/>
      <c r="L208" s="96"/>
      <c r="M208" s="96">
        <f>(C208*I208+D208*J208+E208*K208+F208*L208)/(C208+D208+E208+F208)</f>
        <v>28.680272108843539</v>
      </c>
      <c r="N208" s="96">
        <f t="shared" si="8"/>
        <v>1538.8400000000001</v>
      </c>
      <c r="O208" s="96">
        <v>0.9</v>
      </c>
      <c r="P208" s="96">
        <f t="shared" si="9"/>
        <v>1709.8222222222223</v>
      </c>
      <c r="Q208" s="96">
        <f t="shared" si="10"/>
        <v>170.98222222222216</v>
      </c>
      <c r="R208" s="96" t="s">
        <v>1657</v>
      </c>
    </row>
    <row r="209" spans="2:18" ht="16.5" thickBot="1">
      <c r="M209" s="77" t="s">
        <v>1661</v>
      </c>
      <c r="N209" s="96">
        <f>SUM(N192:N208)-N205-N208</f>
        <v>109621.12646666667</v>
      </c>
      <c r="P209" s="77" t="s">
        <v>1662</v>
      </c>
      <c r="Q209" s="96">
        <f>SUM(Q192:Q208)</f>
        <v>19082.949601851844</v>
      </c>
    </row>
    <row r="213" spans="2:18" ht="16.5" thickBot="1">
      <c r="B213" s="377" t="s">
        <v>1663</v>
      </c>
      <c r="C213" s="378"/>
      <c r="D213" s="378"/>
      <c r="E213" s="378"/>
      <c r="F213" s="378"/>
      <c r="G213" s="378"/>
      <c r="H213" s="378"/>
      <c r="I213" s="378"/>
      <c r="J213" s="378"/>
      <c r="K213" s="378"/>
      <c r="L213" s="378"/>
      <c r="M213" s="378"/>
      <c r="N213" s="378"/>
      <c r="O213" s="378"/>
      <c r="P213" s="378"/>
      <c r="Q213" s="378"/>
      <c r="R213" s="378"/>
    </row>
    <row r="214" spans="2:18" ht="16.5" thickBot="1">
      <c r="B214" s="400" t="s">
        <v>1625</v>
      </c>
      <c r="C214" s="375" t="s">
        <v>1626</v>
      </c>
      <c r="D214" s="376"/>
      <c r="E214" s="376"/>
      <c r="F214" s="376"/>
      <c r="G214" s="394"/>
      <c r="H214" s="400" t="s">
        <v>1627</v>
      </c>
      <c r="I214" s="375" t="s">
        <v>1628</v>
      </c>
      <c r="J214" s="376"/>
      <c r="K214" s="376"/>
      <c r="L214" s="376"/>
      <c r="M214" s="394"/>
      <c r="N214" s="400" t="s">
        <v>1629</v>
      </c>
      <c r="O214" s="400" t="s">
        <v>1630</v>
      </c>
      <c r="P214" s="400" t="s">
        <v>1631</v>
      </c>
      <c r="Q214" s="400" t="s">
        <v>1632</v>
      </c>
      <c r="R214" s="400" t="s">
        <v>1633</v>
      </c>
    </row>
    <row r="215" spans="2:18" ht="16.5" thickBot="1">
      <c r="B215" s="401"/>
      <c r="C215" s="77" t="s">
        <v>1634</v>
      </c>
      <c r="D215" s="77" t="s">
        <v>1635</v>
      </c>
      <c r="E215" s="77" t="s">
        <v>1636</v>
      </c>
      <c r="F215" s="77" t="s">
        <v>1637</v>
      </c>
      <c r="G215" s="77" t="s">
        <v>1584</v>
      </c>
      <c r="H215" s="401"/>
      <c r="I215" s="77" t="s">
        <v>1634</v>
      </c>
      <c r="J215" s="77" t="s">
        <v>1635</v>
      </c>
      <c r="K215" s="77" t="s">
        <v>1636</v>
      </c>
      <c r="L215" s="77" t="s">
        <v>1637</v>
      </c>
      <c r="M215" s="77" t="s">
        <v>1584</v>
      </c>
      <c r="N215" s="401"/>
      <c r="O215" s="401"/>
      <c r="P215" s="401"/>
      <c r="Q215" s="401"/>
      <c r="R215" s="401"/>
    </row>
    <row r="216" spans="2:18" ht="15.75" thickBot="1">
      <c r="B216" s="96" t="s">
        <v>1664</v>
      </c>
      <c r="C216" s="96">
        <v>12.3</v>
      </c>
      <c r="D216" s="96">
        <v>5.4</v>
      </c>
      <c r="E216" s="96"/>
      <c r="F216" s="96"/>
      <c r="G216" s="96">
        <f>AVERAGE(C216:F216)</f>
        <v>8.8500000000000014</v>
      </c>
      <c r="H216" s="96">
        <f>G216*365</f>
        <v>3230.2500000000005</v>
      </c>
      <c r="I216" s="96">
        <v>57</v>
      </c>
      <c r="J216" s="96">
        <v>26.9</v>
      </c>
      <c r="K216" s="96"/>
      <c r="L216" s="96"/>
      <c r="M216" s="96">
        <f>(C216*I216+D216*J216+E216*K216+F216*L216)/(C216+D216+E216+F216)</f>
        <v>47.816949152542364</v>
      </c>
      <c r="N216" s="96">
        <f>M216*(1/1000)*H216</f>
        <v>154.4607</v>
      </c>
      <c r="O216" s="96">
        <v>0.85</v>
      </c>
      <c r="P216" s="96">
        <f t="shared" ref="P216:P223" si="11">N216/O216</f>
        <v>181.71847058823531</v>
      </c>
      <c r="Q216" s="96">
        <f>P216-N216</f>
        <v>27.257770588235303</v>
      </c>
      <c r="R216" s="96" t="s">
        <v>1665</v>
      </c>
    </row>
    <row r="217" spans="2:18" ht="15.75" thickBot="1">
      <c r="B217" s="96" t="s">
        <v>1666</v>
      </c>
      <c r="C217" s="96">
        <v>3.5</v>
      </c>
      <c r="D217" s="96">
        <v>9</v>
      </c>
      <c r="E217" s="96"/>
      <c r="F217" s="96"/>
      <c r="G217" s="96">
        <f t="shared" ref="G217:G223" si="12">AVERAGE(C217:F217)</f>
        <v>6.25</v>
      </c>
      <c r="H217" s="96">
        <f t="shared" ref="H217:H223" si="13">G217*365</f>
        <v>2281.25</v>
      </c>
      <c r="I217" s="96">
        <v>21</v>
      </c>
      <c r="J217" s="96">
        <v>11.1</v>
      </c>
      <c r="K217" s="96"/>
      <c r="L217" s="96"/>
      <c r="M217" s="96">
        <f t="shared" ref="M217:M223" si="14">(C217*I217+D217*J217+E217*K217+F217*L217)/(C217+D217+E217+F217)</f>
        <v>13.871999999999998</v>
      </c>
      <c r="N217" s="96">
        <f t="shared" ref="N217:N223" si="15">M217*(1/1000)*H217</f>
        <v>31.645499999999998</v>
      </c>
      <c r="O217" s="96">
        <v>0.85</v>
      </c>
      <c r="P217" s="96">
        <f t="shared" si="11"/>
        <v>37.229999999999997</v>
      </c>
      <c r="Q217" s="96">
        <f t="shared" ref="Q217:Q223" si="16">P217-N217</f>
        <v>5.5844999999999985</v>
      </c>
      <c r="R217" s="96" t="s">
        <v>1649</v>
      </c>
    </row>
    <row r="218" spans="2:18" ht="15.75" thickBot="1">
      <c r="B218" s="96" t="s">
        <v>1667</v>
      </c>
      <c r="C218" s="96">
        <v>30</v>
      </c>
      <c r="D218" s="96">
        <v>40</v>
      </c>
      <c r="E218" s="96"/>
      <c r="F218" s="96"/>
      <c r="G218" s="96">
        <f t="shared" si="12"/>
        <v>35</v>
      </c>
      <c r="H218" s="96">
        <f t="shared" si="13"/>
        <v>12775</v>
      </c>
      <c r="I218" s="96">
        <v>29</v>
      </c>
      <c r="J218" s="96">
        <v>77</v>
      </c>
      <c r="K218" s="96"/>
      <c r="L218" s="96"/>
      <c r="M218" s="96">
        <f t="shared" si="14"/>
        <v>56.428571428571431</v>
      </c>
      <c r="N218" s="96">
        <f t="shared" si="15"/>
        <v>720.875</v>
      </c>
      <c r="O218" s="96">
        <v>0.85</v>
      </c>
      <c r="P218" s="96">
        <f t="shared" si="11"/>
        <v>848.08823529411768</v>
      </c>
      <c r="Q218" s="96">
        <f t="shared" si="16"/>
        <v>127.21323529411768</v>
      </c>
      <c r="R218" s="96" t="s">
        <v>1668</v>
      </c>
    </row>
    <row r="219" spans="2:18" ht="15.75" thickBot="1">
      <c r="B219" s="96" t="s">
        <v>1669</v>
      </c>
      <c r="C219" s="96">
        <v>43.7</v>
      </c>
      <c r="D219" s="96">
        <v>44.8</v>
      </c>
      <c r="E219" s="96"/>
      <c r="F219" s="96"/>
      <c r="G219" s="96">
        <f t="shared" si="12"/>
        <v>44.25</v>
      </c>
      <c r="H219" s="96">
        <f t="shared" si="13"/>
        <v>16151.25</v>
      </c>
      <c r="I219" s="96">
        <v>42</v>
      </c>
      <c r="J219" s="96">
        <v>82</v>
      </c>
      <c r="K219" s="96"/>
      <c r="L219" s="96"/>
      <c r="M219" s="96">
        <f t="shared" si="14"/>
        <v>62.248587570621467</v>
      </c>
      <c r="N219" s="96">
        <f t="shared" si="15"/>
        <v>1005.3924999999999</v>
      </c>
      <c r="O219" s="96">
        <v>0.85</v>
      </c>
      <c r="P219" s="96">
        <f t="shared" si="11"/>
        <v>1182.8147058823529</v>
      </c>
      <c r="Q219" s="96">
        <f t="shared" si="16"/>
        <v>177.42220588235296</v>
      </c>
      <c r="R219" s="96" t="s">
        <v>1643</v>
      </c>
    </row>
    <row r="220" spans="2:18" ht="15.75" thickBot="1">
      <c r="B220" s="96" t="s">
        <v>1670</v>
      </c>
      <c r="C220" s="96">
        <v>100</v>
      </c>
      <c r="D220" s="96">
        <v>179</v>
      </c>
      <c r="E220" s="96">
        <v>238</v>
      </c>
      <c r="F220" s="96">
        <v>137</v>
      </c>
      <c r="G220" s="96">
        <f t="shared" si="12"/>
        <v>163.5</v>
      </c>
      <c r="H220" s="96">
        <f t="shared" si="13"/>
        <v>59677.5</v>
      </c>
      <c r="I220" s="96">
        <v>200</v>
      </c>
      <c r="J220" s="96">
        <v>48</v>
      </c>
      <c r="K220" s="96">
        <v>34</v>
      </c>
      <c r="L220" s="96">
        <v>12</v>
      </c>
      <c r="M220" s="96">
        <f t="shared" si="14"/>
        <v>58.605504587155963</v>
      </c>
      <c r="N220" s="96">
        <f t="shared" si="15"/>
        <v>3497.4300000000003</v>
      </c>
      <c r="O220" s="96">
        <v>0.9</v>
      </c>
      <c r="P220" s="96">
        <f t="shared" si="11"/>
        <v>3886.0333333333338</v>
      </c>
      <c r="Q220" s="96">
        <f t="shared" si="16"/>
        <v>388.60333333333347</v>
      </c>
      <c r="R220" s="96" t="s">
        <v>1657</v>
      </c>
    </row>
    <row r="221" spans="2:18" ht="15.75" thickBot="1">
      <c r="B221" s="96" t="s">
        <v>1671</v>
      </c>
      <c r="C221" s="96">
        <v>70</v>
      </c>
      <c r="D221" s="96">
        <v>50</v>
      </c>
      <c r="E221" s="96">
        <v>133</v>
      </c>
      <c r="F221" s="96">
        <v>27</v>
      </c>
      <c r="G221" s="96">
        <f t="shared" si="12"/>
        <v>70</v>
      </c>
      <c r="H221" s="96">
        <f t="shared" si="13"/>
        <v>25550</v>
      </c>
      <c r="I221" s="96">
        <v>10</v>
      </c>
      <c r="J221" s="96">
        <v>55</v>
      </c>
      <c r="K221" s="96">
        <v>30</v>
      </c>
      <c r="L221" s="96">
        <v>27</v>
      </c>
      <c r="M221" s="96">
        <f t="shared" si="14"/>
        <v>29.175000000000001</v>
      </c>
      <c r="N221" s="96">
        <f t="shared" si="15"/>
        <v>745.4212500000001</v>
      </c>
      <c r="O221" s="96">
        <v>0.9</v>
      </c>
      <c r="P221" s="96">
        <f t="shared" si="11"/>
        <v>828.24583333333339</v>
      </c>
      <c r="Q221" s="96">
        <f t="shared" si="16"/>
        <v>82.824583333333294</v>
      </c>
      <c r="R221" s="96" t="s">
        <v>1657</v>
      </c>
    </row>
    <row r="222" spans="2:18" ht="15.75" thickBot="1">
      <c r="B222" s="96" t="s">
        <v>1672</v>
      </c>
      <c r="C222" s="96">
        <v>10</v>
      </c>
      <c r="D222" s="96">
        <v>10</v>
      </c>
      <c r="E222" s="96"/>
      <c r="F222" s="96"/>
      <c r="G222" s="96">
        <f t="shared" si="12"/>
        <v>10</v>
      </c>
      <c r="H222" s="96">
        <f t="shared" si="13"/>
        <v>3650</v>
      </c>
      <c r="I222" s="96">
        <v>130</v>
      </c>
      <c r="J222" s="96">
        <v>177</v>
      </c>
      <c r="K222" s="96"/>
      <c r="L222" s="96"/>
      <c r="M222" s="96">
        <f t="shared" si="14"/>
        <v>153.5</v>
      </c>
      <c r="N222" s="96">
        <f t="shared" si="15"/>
        <v>560.27499999999998</v>
      </c>
      <c r="O222" s="96">
        <v>0.85</v>
      </c>
      <c r="P222" s="96">
        <f t="shared" si="11"/>
        <v>659.14705882352939</v>
      </c>
      <c r="Q222" s="96">
        <f t="shared" si="16"/>
        <v>98.872058823529414</v>
      </c>
      <c r="R222" s="96" t="s">
        <v>1657</v>
      </c>
    </row>
    <row r="223" spans="2:18" ht="15.75" thickBot="1">
      <c r="B223" s="96" t="s">
        <v>1673</v>
      </c>
      <c r="C223" s="96">
        <v>2.42</v>
      </c>
      <c r="D223" s="96">
        <v>1.4</v>
      </c>
      <c r="E223" s="96"/>
      <c r="F223" s="96"/>
      <c r="G223" s="96">
        <f t="shared" si="12"/>
        <v>1.91</v>
      </c>
      <c r="H223" s="96">
        <f t="shared" si="13"/>
        <v>697.15</v>
      </c>
      <c r="I223" s="96">
        <v>41.8</v>
      </c>
      <c r="J223" s="96">
        <v>72.5</v>
      </c>
      <c r="K223" s="96"/>
      <c r="L223" s="96"/>
      <c r="M223" s="96">
        <f t="shared" si="14"/>
        <v>53.051308900523566</v>
      </c>
      <c r="N223" s="96">
        <f t="shared" si="15"/>
        <v>36.984720000000003</v>
      </c>
      <c r="O223" s="96">
        <v>0.85</v>
      </c>
      <c r="P223" s="96">
        <f t="shared" si="11"/>
        <v>43.511435294117653</v>
      </c>
      <c r="Q223" s="96">
        <f t="shared" si="16"/>
        <v>6.5267152941176505</v>
      </c>
      <c r="R223" s="96" t="s">
        <v>1643</v>
      </c>
    </row>
    <row r="224" spans="2:18" ht="16.5" thickBot="1">
      <c r="M224" s="77" t="s">
        <v>1661</v>
      </c>
      <c r="N224" s="96">
        <f>SUM(N216:N223)-N220-N221-N222</f>
        <v>1949.35842</v>
      </c>
      <c r="P224" s="77" t="s">
        <v>1662</v>
      </c>
      <c r="Q224" s="96">
        <f>SUM(Q216:Q223)</f>
        <v>914.30440254901964</v>
      </c>
    </row>
    <row r="228" spans="2:18" ht="16.5" thickBot="1">
      <c r="B228" s="377" t="s">
        <v>1674</v>
      </c>
      <c r="C228" s="378"/>
      <c r="D228" s="378"/>
      <c r="E228" s="378"/>
      <c r="F228" s="378"/>
      <c r="G228" s="378"/>
      <c r="H228" s="378"/>
      <c r="I228" s="378"/>
      <c r="J228" s="378"/>
      <c r="K228" s="378"/>
      <c r="L228" s="378"/>
      <c r="M228" s="378"/>
      <c r="N228" s="378"/>
      <c r="O228" s="378"/>
      <c r="P228" s="378"/>
      <c r="Q228" s="378"/>
      <c r="R228" s="378"/>
    </row>
    <row r="229" spans="2:18" ht="16.5" thickBot="1">
      <c r="B229" s="400" t="s">
        <v>1625</v>
      </c>
      <c r="C229" s="375" t="s">
        <v>1626</v>
      </c>
      <c r="D229" s="376"/>
      <c r="E229" s="376"/>
      <c r="F229" s="376"/>
      <c r="G229" s="394"/>
      <c r="H229" s="400" t="s">
        <v>1627</v>
      </c>
      <c r="I229" s="375" t="s">
        <v>1628</v>
      </c>
      <c r="J229" s="376"/>
      <c r="K229" s="376"/>
      <c r="L229" s="376"/>
      <c r="M229" s="394"/>
      <c r="N229" s="400" t="s">
        <v>1629</v>
      </c>
      <c r="O229" s="400" t="s">
        <v>1630</v>
      </c>
      <c r="P229" s="400" t="s">
        <v>1631</v>
      </c>
      <c r="Q229" s="400" t="s">
        <v>1632</v>
      </c>
      <c r="R229" s="400" t="s">
        <v>1633</v>
      </c>
    </row>
    <row r="230" spans="2:18" ht="16.5" thickBot="1">
      <c r="B230" s="401"/>
      <c r="C230" s="77" t="s">
        <v>1634</v>
      </c>
      <c r="D230" s="77" t="s">
        <v>1635</v>
      </c>
      <c r="E230" s="77" t="s">
        <v>1636</v>
      </c>
      <c r="F230" s="77" t="s">
        <v>1637</v>
      </c>
      <c r="G230" s="77" t="s">
        <v>1584</v>
      </c>
      <c r="H230" s="401"/>
      <c r="I230" s="77" t="s">
        <v>1634</v>
      </c>
      <c r="J230" s="77" t="s">
        <v>1635</v>
      </c>
      <c r="K230" s="77" t="s">
        <v>1636</v>
      </c>
      <c r="L230" s="77" t="s">
        <v>1637</v>
      </c>
      <c r="M230" s="77" t="s">
        <v>1584</v>
      </c>
      <c r="N230" s="401"/>
      <c r="O230" s="401"/>
      <c r="P230" s="401"/>
      <c r="Q230" s="401"/>
      <c r="R230" s="401"/>
    </row>
    <row r="231" spans="2:18" ht="15.75" thickBot="1">
      <c r="B231" s="96" t="s">
        <v>1675</v>
      </c>
      <c r="C231" s="96">
        <v>125.85</v>
      </c>
      <c r="D231" s="96">
        <v>171.73</v>
      </c>
      <c r="E231" s="96">
        <v>98.61</v>
      </c>
      <c r="F231" s="96">
        <v>111.41</v>
      </c>
      <c r="G231" s="96">
        <f t="shared" ref="G231:G247" si="17">AVERAGE(C231:F231)</f>
        <v>126.9</v>
      </c>
      <c r="H231" s="96">
        <f>G231*365</f>
        <v>46318.5</v>
      </c>
      <c r="I231" s="96">
        <v>15.6</v>
      </c>
      <c r="J231" s="96">
        <v>16.399999999999999</v>
      </c>
      <c r="K231" s="96">
        <v>18</v>
      </c>
      <c r="L231" s="96">
        <v>19.7</v>
      </c>
      <c r="M231" s="96">
        <f>(C231*I231+D231*J231+E231*K231+F231*L231)/(C231+D231+E231+F231)</f>
        <v>17.236778959810874</v>
      </c>
      <c r="N231" s="96">
        <f>M231*(1/1000)*H231</f>
        <v>798.38174624999999</v>
      </c>
      <c r="O231" s="96">
        <v>0.85</v>
      </c>
      <c r="P231" s="96">
        <f t="shared" ref="P231:P247" si="18">N231/O231</f>
        <v>939.27264264705889</v>
      </c>
      <c r="Q231" s="96">
        <f t="shared" ref="Q231:Q247" si="19">P231-N231</f>
        <v>140.8908963970589</v>
      </c>
      <c r="R231" s="96" t="s">
        <v>1649</v>
      </c>
    </row>
    <row r="232" spans="2:18" ht="15.75" thickBot="1">
      <c r="B232" s="96" t="s">
        <v>1676</v>
      </c>
      <c r="C232" s="96">
        <v>47</v>
      </c>
      <c r="D232" s="96">
        <v>46</v>
      </c>
      <c r="E232" s="96">
        <v>46.1</v>
      </c>
      <c r="F232" s="96">
        <v>52.3</v>
      </c>
      <c r="G232" s="96">
        <f t="shared" si="17"/>
        <v>47.849999999999994</v>
      </c>
      <c r="H232" s="96">
        <f t="shared" ref="H232:H247" si="20">G232*365</f>
        <v>17465.249999999996</v>
      </c>
      <c r="I232" s="96">
        <v>35</v>
      </c>
      <c r="J232" s="96">
        <v>26</v>
      </c>
      <c r="K232" s="96">
        <v>28</v>
      </c>
      <c r="L232" s="96">
        <v>17</v>
      </c>
      <c r="M232" s="96">
        <f t="shared" ref="M232:M247" si="21">(C232*I232+D232*J232+E232*K232+F232*L232)/(C232+D232+E232+F232)</f>
        <v>26.232497387669802</v>
      </c>
      <c r="N232" s="96">
        <f t="shared" ref="N232:N247" si="22">M232*(1/1000)*H232</f>
        <v>458.15712499999995</v>
      </c>
      <c r="O232" s="96">
        <v>0.85</v>
      </c>
      <c r="P232" s="96">
        <f t="shared" si="18"/>
        <v>539.00838235294111</v>
      </c>
      <c r="Q232" s="96">
        <f t="shared" si="19"/>
        <v>80.851257352941161</v>
      </c>
      <c r="R232" s="96" t="s">
        <v>1643</v>
      </c>
    </row>
    <row r="233" spans="2:18" ht="15.75" thickBot="1">
      <c r="B233" s="96" t="s">
        <v>1677</v>
      </c>
      <c r="C233" s="96">
        <v>30.24</v>
      </c>
      <c r="D233" s="96" t="s">
        <v>1648</v>
      </c>
      <c r="E233" s="96"/>
      <c r="F233" s="96"/>
      <c r="G233" s="96">
        <f t="shared" si="17"/>
        <v>30.24</v>
      </c>
      <c r="H233" s="96">
        <f t="shared" si="20"/>
        <v>11037.599999999999</v>
      </c>
      <c r="I233" s="96">
        <v>29.7</v>
      </c>
      <c r="J233" s="96" t="s">
        <v>1648</v>
      </c>
      <c r="K233" s="96"/>
      <c r="L233" s="96"/>
      <c r="M233" s="96">
        <f>(C233*I233)/(C233)</f>
        <v>29.7</v>
      </c>
      <c r="N233" s="96">
        <f t="shared" si="22"/>
        <v>327.81671999999998</v>
      </c>
      <c r="O233" s="96">
        <v>0.9</v>
      </c>
      <c r="P233" s="96">
        <f t="shared" si="18"/>
        <v>364.24079999999998</v>
      </c>
      <c r="Q233" s="96">
        <f t="shared" si="19"/>
        <v>36.424080000000004</v>
      </c>
      <c r="R233" s="96" t="s">
        <v>1643</v>
      </c>
    </row>
    <row r="234" spans="2:18" ht="15.75" thickBot="1">
      <c r="B234" s="96" t="s">
        <v>1678</v>
      </c>
      <c r="C234" s="96">
        <v>4.3</v>
      </c>
      <c r="D234" s="96">
        <v>9.8000000000000007</v>
      </c>
      <c r="E234" s="96"/>
      <c r="F234" s="96"/>
      <c r="G234" s="96">
        <f t="shared" si="17"/>
        <v>7.0500000000000007</v>
      </c>
      <c r="H234" s="96">
        <f t="shared" si="20"/>
        <v>2573.2500000000005</v>
      </c>
      <c r="I234" s="96">
        <v>41</v>
      </c>
      <c r="J234" s="96">
        <v>5</v>
      </c>
      <c r="K234" s="96"/>
      <c r="L234" s="96"/>
      <c r="M234" s="96">
        <f t="shared" si="21"/>
        <v>15.978723404255316</v>
      </c>
      <c r="N234" s="96">
        <f t="shared" si="22"/>
        <v>41.117249999999999</v>
      </c>
      <c r="O234" s="96">
        <v>0.85</v>
      </c>
      <c r="P234" s="96">
        <f t="shared" si="18"/>
        <v>48.373235294117649</v>
      </c>
      <c r="Q234" s="96">
        <f t="shared" si="19"/>
        <v>7.2559852941176501</v>
      </c>
      <c r="R234" s="96" t="s">
        <v>1649</v>
      </c>
    </row>
    <row r="235" spans="2:18" ht="15.75" thickBot="1">
      <c r="B235" s="96" t="s">
        <v>1679</v>
      </c>
      <c r="C235" s="96">
        <v>18</v>
      </c>
      <c r="D235" s="96">
        <v>22.5</v>
      </c>
      <c r="E235" s="96"/>
      <c r="F235" s="96"/>
      <c r="G235" s="96">
        <f t="shared" si="17"/>
        <v>20.25</v>
      </c>
      <c r="H235" s="96">
        <f t="shared" si="20"/>
        <v>7391.25</v>
      </c>
      <c r="I235" s="96">
        <v>119</v>
      </c>
      <c r="J235" s="96">
        <v>39</v>
      </c>
      <c r="K235" s="96"/>
      <c r="L235" s="96"/>
      <c r="M235" s="96">
        <f t="shared" si="21"/>
        <v>74.555555555555557</v>
      </c>
      <c r="N235" s="96">
        <f t="shared" si="22"/>
        <v>551.05875000000003</v>
      </c>
      <c r="O235" s="96">
        <v>0.85</v>
      </c>
      <c r="P235" s="96">
        <f t="shared" si="18"/>
        <v>648.30441176470595</v>
      </c>
      <c r="Q235" s="96">
        <f t="shared" si="19"/>
        <v>97.245661764705915</v>
      </c>
      <c r="R235" s="96" t="s">
        <v>1680</v>
      </c>
    </row>
    <row r="236" spans="2:18" ht="15.75" thickBot="1">
      <c r="B236" s="96" t="s">
        <v>1681</v>
      </c>
      <c r="C236" s="96">
        <v>22</v>
      </c>
      <c r="D236" s="96">
        <v>20</v>
      </c>
      <c r="E236" s="96"/>
      <c r="F236" s="96"/>
      <c r="G236" s="96">
        <f t="shared" si="17"/>
        <v>21</v>
      </c>
      <c r="H236" s="96">
        <f t="shared" si="20"/>
        <v>7665</v>
      </c>
      <c r="I236" s="96">
        <v>93</v>
      </c>
      <c r="J236" s="96">
        <v>27</v>
      </c>
      <c r="K236" s="96"/>
      <c r="L236" s="96"/>
      <c r="M236" s="96">
        <f t="shared" si="21"/>
        <v>61.571428571428569</v>
      </c>
      <c r="N236" s="96">
        <f t="shared" si="22"/>
        <v>471.94499999999999</v>
      </c>
      <c r="O236" s="96">
        <v>0.9</v>
      </c>
      <c r="P236" s="96">
        <f t="shared" si="18"/>
        <v>524.38333333333333</v>
      </c>
      <c r="Q236" s="96">
        <f t="shared" si="19"/>
        <v>52.438333333333333</v>
      </c>
      <c r="R236" s="96" t="s">
        <v>1643</v>
      </c>
    </row>
    <row r="237" spans="2:18" ht="15.75" thickBot="1">
      <c r="B237" s="96" t="s">
        <v>1682</v>
      </c>
      <c r="C237" s="96">
        <v>70</v>
      </c>
      <c r="D237" s="96">
        <v>65</v>
      </c>
      <c r="E237" s="96"/>
      <c r="F237" s="96"/>
      <c r="G237" s="96">
        <f t="shared" si="17"/>
        <v>67.5</v>
      </c>
      <c r="H237" s="96">
        <f t="shared" si="20"/>
        <v>24637.5</v>
      </c>
      <c r="I237" s="96">
        <v>79.400000000000006</v>
      </c>
      <c r="J237" s="96">
        <v>146</v>
      </c>
      <c r="K237" s="96"/>
      <c r="L237" s="96"/>
      <c r="M237" s="96">
        <f t="shared" si="21"/>
        <v>111.46666666666667</v>
      </c>
      <c r="N237" s="96">
        <f t="shared" si="22"/>
        <v>2746.26</v>
      </c>
      <c r="O237" s="96">
        <v>0.85</v>
      </c>
      <c r="P237" s="96">
        <f t="shared" si="18"/>
        <v>3230.8941176470594</v>
      </c>
      <c r="Q237" s="96">
        <f t="shared" si="19"/>
        <v>484.63411764705916</v>
      </c>
      <c r="R237" s="96" t="s">
        <v>1668</v>
      </c>
    </row>
    <row r="238" spans="2:18" ht="15.75" thickBot="1">
      <c r="B238" s="96" t="s">
        <v>1683</v>
      </c>
      <c r="C238" s="96">
        <v>31</v>
      </c>
      <c r="D238" s="96" t="s">
        <v>1648</v>
      </c>
      <c r="E238" s="96"/>
      <c r="F238" s="96"/>
      <c r="G238" s="96">
        <f t="shared" si="17"/>
        <v>31</v>
      </c>
      <c r="H238" s="96">
        <f t="shared" si="20"/>
        <v>11315</v>
      </c>
      <c r="I238" s="96">
        <v>54</v>
      </c>
      <c r="J238" s="96" t="s">
        <v>1648</v>
      </c>
      <c r="K238" s="96"/>
      <c r="L238" s="96"/>
      <c r="M238" s="96">
        <f>(C238*I238)/(C238)</f>
        <v>54</v>
      </c>
      <c r="N238" s="96">
        <f t="shared" si="22"/>
        <v>611.01</v>
      </c>
      <c r="O238" s="96">
        <v>0.85</v>
      </c>
      <c r="P238" s="96">
        <f t="shared" si="18"/>
        <v>718.83529411764709</v>
      </c>
      <c r="Q238" s="96">
        <f t="shared" si="19"/>
        <v>107.8252941176471</v>
      </c>
      <c r="R238" s="96" t="s">
        <v>1684</v>
      </c>
    </row>
    <row r="239" spans="2:18" ht="15.75" thickBot="1">
      <c r="B239" s="96" t="s">
        <v>1685</v>
      </c>
      <c r="C239" s="96">
        <v>13.5</v>
      </c>
      <c r="D239" s="96">
        <v>0.55000000000000004</v>
      </c>
      <c r="E239" s="96"/>
      <c r="F239" s="96"/>
      <c r="G239" s="96">
        <f t="shared" si="17"/>
        <v>7.0250000000000004</v>
      </c>
      <c r="H239" s="96">
        <f t="shared" si="20"/>
        <v>2564.125</v>
      </c>
      <c r="I239" s="96">
        <v>37</v>
      </c>
      <c r="J239" s="96">
        <v>83</v>
      </c>
      <c r="K239" s="96"/>
      <c r="L239" s="96"/>
      <c r="M239" s="96">
        <f t="shared" si="21"/>
        <v>38.80071174377224</v>
      </c>
      <c r="N239" s="96">
        <f t="shared" si="22"/>
        <v>99.489874999999998</v>
      </c>
      <c r="O239" s="96">
        <v>0.85</v>
      </c>
      <c r="P239" s="96">
        <f t="shared" si="18"/>
        <v>117.04691176470588</v>
      </c>
      <c r="Q239" s="96">
        <f t="shared" si="19"/>
        <v>17.557036764705884</v>
      </c>
      <c r="R239" s="96" t="s">
        <v>1643</v>
      </c>
    </row>
    <row r="240" spans="2:18" ht="15.75" thickBot="1">
      <c r="B240" s="96" t="s">
        <v>1686</v>
      </c>
      <c r="C240" s="96">
        <v>17</v>
      </c>
      <c r="D240" s="96">
        <v>6</v>
      </c>
      <c r="E240" s="96"/>
      <c r="F240" s="96"/>
      <c r="G240" s="96">
        <f t="shared" si="17"/>
        <v>11.5</v>
      </c>
      <c r="H240" s="96">
        <f t="shared" si="20"/>
        <v>4197.5</v>
      </c>
      <c r="I240" s="96">
        <v>254</v>
      </c>
      <c r="J240" s="96">
        <v>41</v>
      </c>
      <c r="K240" s="96"/>
      <c r="L240" s="96"/>
      <c r="M240" s="96">
        <f t="shared" si="21"/>
        <v>198.43478260869566</v>
      </c>
      <c r="N240" s="96">
        <f t="shared" si="22"/>
        <v>832.93</v>
      </c>
      <c r="O240" s="96">
        <v>0.9</v>
      </c>
      <c r="P240" s="96">
        <f t="shared" si="18"/>
        <v>925.47777777777765</v>
      </c>
      <c r="Q240" s="96">
        <f t="shared" si="19"/>
        <v>92.547777777777696</v>
      </c>
      <c r="R240" s="96" t="s">
        <v>1657</v>
      </c>
    </row>
    <row r="241" spans="2:18" ht="15.75" thickBot="1">
      <c r="B241" s="96" t="s">
        <v>1687</v>
      </c>
      <c r="C241" s="96">
        <v>0</v>
      </c>
      <c r="D241" s="96">
        <v>16</v>
      </c>
      <c r="E241" s="96"/>
      <c r="F241" s="96"/>
      <c r="G241" s="96">
        <f t="shared" si="17"/>
        <v>8</v>
      </c>
      <c r="H241" s="96">
        <f t="shared" si="20"/>
        <v>2920</v>
      </c>
      <c r="I241" s="96">
        <v>36</v>
      </c>
      <c r="J241" s="96">
        <v>26</v>
      </c>
      <c r="K241" s="96"/>
      <c r="L241" s="96"/>
      <c r="M241" s="96">
        <f t="shared" si="21"/>
        <v>26</v>
      </c>
      <c r="N241" s="96">
        <f t="shared" si="22"/>
        <v>75.92</v>
      </c>
      <c r="O241" s="96">
        <v>0.85</v>
      </c>
      <c r="P241" s="96">
        <f t="shared" si="18"/>
        <v>89.317647058823539</v>
      </c>
      <c r="Q241" s="96">
        <f t="shared" si="19"/>
        <v>13.397647058823537</v>
      </c>
      <c r="R241" s="96" t="s">
        <v>1657</v>
      </c>
    </row>
    <row r="242" spans="2:18" ht="15.75" thickBot="1">
      <c r="B242" s="96" t="s">
        <v>1688</v>
      </c>
      <c r="C242" s="96">
        <v>43</v>
      </c>
      <c r="D242" s="96">
        <v>64.8</v>
      </c>
      <c r="E242" s="96"/>
      <c r="F242" s="96"/>
      <c r="G242" s="96">
        <f t="shared" si="17"/>
        <v>53.9</v>
      </c>
      <c r="H242" s="96">
        <f t="shared" si="20"/>
        <v>19673.5</v>
      </c>
      <c r="I242" s="96">
        <v>31</v>
      </c>
      <c r="J242" s="96">
        <v>13</v>
      </c>
      <c r="K242" s="96"/>
      <c r="L242" s="96"/>
      <c r="M242" s="96">
        <f t="shared" si="21"/>
        <v>20.179962894248611</v>
      </c>
      <c r="N242" s="96">
        <f t="shared" si="22"/>
        <v>397.01050000000009</v>
      </c>
      <c r="O242" s="96">
        <v>0.85</v>
      </c>
      <c r="P242" s="96">
        <f t="shared" si="18"/>
        <v>467.07117647058834</v>
      </c>
      <c r="Q242" s="96">
        <f t="shared" si="19"/>
        <v>70.060676470588248</v>
      </c>
      <c r="R242" s="96" t="s">
        <v>1649</v>
      </c>
    </row>
    <row r="243" spans="2:18" ht="15.75" thickBot="1">
      <c r="B243" s="96" t="s">
        <v>1689</v>
      </c>
      <c r="C243" s="96">
        <v>77</v>
      </c>
      <c r="D243" s="96">
        <v>90</v>
      </c>
      <c r="E243" s="96">
        <v>78</v>
      </c>
      <c r="F243" s="96"/>
      <c r="G243" s="96">
        <f t="shared" si="17"/>
        <v>81.666666666666671</v>
      </c>
      <c r="H243" s="96">
        <f t="shared" si="20"/>
        <v>29808.333333333336</v>
      </c>
      <c r="I243" s="96">
        <v>18</v>
      </c>
      <c r="J243" s="96">
        <v>24</v>
      </c>
      <c r="K243" s="96">
        <v>16</v>
      </c>
      <c r="L243" s="96"/>
      <c r="M243" s="96">
        <f t="shared" si="21"/>
        <v>19.567346938775511</v>
      </c>
      <c r="N243" s="96">
        <f t="shared" si="22"/>
        <v>583.2700000000001</v>
      </c>
      <c r="O243" s="96">
        <v>0.85</v>
      </c>
      <c r="P243" s="96">
        <f t="shared" si="18"/>
        <v>686.20000000000016</v>
      </c>
      <c r="Q243" s="96">
        <f t="shared" si="19"/>
        <v>102.93000000000006</v>
      </c>
      <c r="R243" s="96" t="s">
        <v>1643</v>
      </c>
    </row>
    <row r="244" spans="2:18" ht="15.75" thickBot="1">
      <c r="B244" s="96" t="s">
        <v>1690</v>
      </c>
      <c r="C244" s="96">
        <v>0</v>
      </c>
      <c r="D244" s="96">
        <v>1.27</v>
      </c>
      <c r="E244" s="96"/>
      <c r="F244" s="96"/>
      <c r="G244" s="96">
        <f t="shared" si="17"/>
        <v>0.63500000000000001</v>
      </c>
      <c r="H244" s="96">
        <f t="shared" si="20"/>
        <v>231.77500000000001</v>
      </c>
      <c r="I244" s="96">
        <v>69.599999999999994</v>
      </c>
      <c r="J244" s="96">
        <v>55.2</v>
      </c>
      <c r="K244" s="96"/>
      <c r="L244" s="96"/>
      <c r="M244" s="96">
        <f t="shared" si="21"/>
        <v>55.199999999999996</v>
      </c>
      <c r="N244" s="96">
        <f t="shared" si="22"/>
        <v>12.793979999999999</v>
      </c>
      <c r="O244" s="96">
        <v>0.85</v>
      </c>
      <c r="P244" s="96">
        <f t="shared" si="18"/>
        <v>15.051741176470587</v>
      </c>
      <c r="Q244" s="96">
        <f t="shared" si="19"/>
        <v>2.2577611764705878</v>
      </c>
      <c r="R244" s="96" t="s">
        <v>1668</v>
      </c>
    </row>
    <row r="245" spans="2:18" ht="15.75" thickBot="1">
      <c r="B245" s="96" t="s">
        <v>1691</v>
      </c>
      <c r="C245" s="96">
        <v>0</v>
      </c>
      <c r="D245" s="96">
        <v>69</v>
      </c>
      <c r="E245" s="96"/>
      <c r="F245" s="96"/>
      <c r="G245" s="96">
        <f t="shared" si="17"/>
        <v>34.5</v>
      </c>
      <c r="H245" s="96">
        <f t="shared" si="20"/>
        <v>12592.5</v>
      </c>
      <c r="I245" s="96">
        <v>88</v>
      </c>
      <c r="J245" s="96">
        <v>144</v>
      </c>
      <c r="K245" s="96"/>
      <c r="L245" s="96"/>
      <c r="M245" s="96">
        <f t="shared" si="21"/>
        <v>144</v>
      </c>
      <c r="N245" s="96">
        <f t="shared" si="22"/>
        <v>1813.3200000000002</v>
      </c>
      <c r="O245" s="96">
        <v>0.85</v>
      </c>
      <c r="P245" s="96">
        <f t="shared" si="18"/>
        <v>2133.3176470588237</v>
      </c>
      <c r="Q245" s="96">
        <f t="shared" si="19"/>
        <v>319.99764705882353</v>
      </c>
      <c r="R245" s="96" t="s">
        <v>1668</v>
      </c>
    </row>
    <row r="246" spans="2:18" ht="15.75" thickBot="1">
      <c r="B246" s="96" t="s">
        <v>1692</v>
      </c>
      <c r="C246" s="96">
        <v>13</v>
      </c>
      <c r="D246" s="96">
        <v>34</v>
      </c>
      <c r="E246" s="96"/>
      <c r="F246" s="96"/>
      <c r="G246" s="96">
        <f t="shared" si="17"/>
        <v>23.5</v>
      </c>
      <c r="H246" s="96">
        <f t="shared" si="20"/>
        <v>8577.5</v>
      </c>
      <c r="I246" s="96">
        <v>184</v>
      </c>
      <c r="J246" s="96">
        <v>258</v>
      </c>
      <c r="K246" s="96"/>
      <c r="L246" s="96"/>
      <c r="M246" s="96">
        <f t="shared" si="21"/>
        <v>237.53191489361703</v>
      </c>
      <c r="N246" s="96">
        <f t="shared" si="22"/>
        <v>2037.43</v>
      </c>
      <c r="O246" s="96">
        <v>0.85</v>
      </c>
      <c r="P246" s="96">
        <f t="shared" si="18"/>
        <v>2396.9764705882353</v>
      </c>
      <c r="Q246" s="96">
        <f t="shared" si="19"/>
        <v>359.54647058823525</v>
      </c>
      <c r="R246" s="96" t="s">
        <v>1649</v>
      </c>
    </row>
    <row r="247" spans="2:18" ht="15.75" thickBot="1">
      <c r="B247" s="96" t="s">
        <v>1693</v>
      </c>
      <c r="C247" s="96">
        <v>13.8</v>
      </c>
      <c r="D247" s="96">
        <v>16.399999999999999</v>
      </c>
      <c r="E247" s="96"/>
      <c r="F247" s="96"/>
      <c r="G247" s="96">
        <f t="shared" si="17"/>
        <v>15.1</v>
      </c>
      <c r="H247" s="96">
        <f t="shared" si="20"/>
        <v>5511.5</v>
      </c>
      <c r="I247" s="96">
        <v>24</v>
      </c>
      <c r="J247" s="96">
        <v>16</v>
      </c>
      <c r="K247" s="96"/>
      <c r="L247" s="96"/>
      <c r="M247" s="96">
        <f t="shared" si="21"/>
        <v>19.65562913907285</v>
      </c>
      <c r="N247" s="96">
        <f t="shared" si="22"/>
        <v>108.33200000000002</v>
      </c>
      <c r="O247" s="96">
        <v>0.85</v>
      </c>
      <c r="P247" s="96">
        <f t="shared" si="18"/>
        <v>127.44941176470591</v>
      </c>
      <c r="Q247" s="96">
        <f t="shared" si="19"/>
        <v>19.117411764705892</v>
      </c>
      <c r="R247" s="96" t="s">
        <v>1649</v>
      </c>
    </row>
    <row r="248" spans="2:18" ht="16.5" thickBot="1">
      <c r="M248" s="77" t="s">
        <v>1661</v>
      </c>
      <c r="N248" s="96">
        <f>SUM(N231:N247)-N240-N241</f>
        <v>11057.392946250004</v>
      </c>
      <c r="P248" s="77" t="s">
        <v>1662</v>
      </c>
      <c r="Q248" s="96">
        <f>SUM(Q231:Q247)</f>
        <v>2004.9780545669939</v>
      </c>
    </row>
    <row r="251" spans="2:18" ht="15.75" customHeight="1">
      <c r="B251" s="368" t="s">
        <v>1694</v>
      </c>
      <c r="C251" s="368"/>
      <c r="D251" s="368"/>
    </row>
    <row r="252" spans="2:18" ht="15.75" thickBot="1"/>
    <row r="253" spans="2:18" ht="15.75" thickBot="1">
      <c r="B253" s="395" t="s">
        <v>1695</v>
      </c>
      <c r="C253" s="396"/>
      <c r="D253" s="162">
        <v>30713</v>
      </c>
    </row>
    <row r="254" spans="2:18" ht="15.75" thickBot="1">
      <c r="B254" s="395" t="s">
        <v>1696</v>
      </c>
      <c r="C254" s="396"/>
      <c r="D254" s="96">
        <v>5536</v>
      </c>
    </row>
    <row r="255" spans="2:18" ht="33.75" customHeight="1" thickBot="1">
      <c r="B255" s="395" t="s">
        <v>1697</v>
      </c>
      <c r="C255" s="396"/>
      <c r="D255" s="162">
        <f>+D253-D254-D258</f>
        <v>24871.31</v>
      </c>
    </row>
    <row r="256" spans="2:18" ht="27.75" customHeight="1" thickBot="1">
      <c r="B256" s="395" t="s">
        <v>1698</v>
      </c>
      <c r="C256" s="396"/>
      <c r="D256" s="96">
        <f>8734*0.01</f>
        <v>87.34</v>
      </c>
    </row>
    <row r="257" spans="2:4" ht="29.25" customHeight="1" thickBot="1">
      <c r="B257" s="395" t="s">
        <v>1699</v>
      </c>
      <c r="C257" s="396"/>
      <c r="D257" s="96">
        <v>3.5</v>
      </c>
    </row>
    <row r="258" spans="2:4" ht="24" customHeight="1" thickBot="1">
      <c r="B258" s="395" t="s">
        <v>1700</v>
      </c>
      <c r="C258" s="396"/>
      <c r="D258" s="210">
        <f>D257*D256</f>
        <v>305.69</v>
      </c>
    </row>
  </sheetData>
  <mergeCells count="85">
    <mergeCell ref="B25:E25"/>
    <mergeCell ref="B27:C27"/>
    <mergeCell ref="E27:F27"/>
    <mergeCell ref="B73:E73"/>
    <mergeCell ref="B75:D75"/>
    <mergeCell ref="B32:E32"/>
    <mergeCell ref="B34:C34"/>
    <mergeCell ref="E34:F34"/>
    <mergeCell ref="B39:E39"/>
    <mergeCell ref="B41:C41"/>
    <mergeCell ref="E41:F41"/>
    <mergeCell ref="B67:E67"/>
    <mergeCell ref="B69:D69"/>
    <mergeCell ref="B185:J185"/>
    <mergeCell ref="B96:E97"/>
    <mergeCell ref="B110:G110"/>
    <mergeCell ref="B145:D145"/>
    <mergeCell ref="F146:G146"/>
    <mergeCell ref="B157:G157"/>
    <mergeCell ref="B159:D159"/>
    <mergeCell ref="B170:C170"/>
    <mergeCell ref="B172:C172"/>
    <mergeCell ref="B178:C178"/>
    <mergeCell ref="B180:C180"/>
    <mergeCell ref="B133:E133"/>
    <mergeCell ref="B135:D135"/>
    <mergeCell ref="B149:D149"/>
    <mergeCell ref="F150:G150"/>
    <mergeCell ref="B141:G141"/>
    <mergeCell ref="B1:C1"/>
    <mergeCell ref="B5:G5"/>
    <mergeCell ref="B7:E7"/>
    <mergeCell ref="B9:C9"/>
    <mergeCell ref="B12:G12"/>
    <mergeCell ref="Q190:Q191"/>
    <mergeCell ref="B187:E187"/>
    <mergeCell ref="B190:B191"/>
    <mergeCell ref="C190:G190"/>
    <mergeCell ref="H190:H191"/>
    <mergeCell ref="I190:M190"/>
    <mergeCell ref="B255:C255"/>
    <mergeCell ref="O229:O230"/>
    <mergeCell ref="P229:P230"/>
    <mergeCell ref="Q229:Q230"/>
    <mergeCell ref="R229:R230"/>
    <mergeCell ref="B251:D251"/>
    <mergeCell ref="B229:B230"/>
    <mergeCell ref="C229:G229"/>
    <mergeCell ref="H229:H230"/>
    <mergeCell ref="I229:M229"/>
    <mergeCell ref="N229:N230"/>
    <mergeCell ref="B253:C253"/>
    <mergeCell ref="B254:C254"/>
    <mergeCell ref="B228:R228"/>
    <mergeCell ref="R190:R191"/>
    <mergeCell ref="B189:R189"/>
    <mergeCell ref="B213:R213"/>
    <mergeCell ref="B214:B215"/>
    <mergeCell ref="C214:G214"/>
    <mergeCell ref="H214:H215"/>
    <mergeCell ref="I214:M214"/>
    <mergeCell ref="N214:N215"/>
    <mergeCell ref="O214:O215"/>
    <mergeCell ref="P214:P215"/>
    <mergeCell ref="Q214:Q215"/>
    <mergeCell ref="R214:R215"/>
    <mergeCell ref="N190:N191"/>
    <mergeCell ref="O190:O191"/>
    <mergeCell ref="P190:P191"/>
    <mergeCell ref="B256:C256"/>
    <mergeCell ref="B257:C257"/>
    <mergeCell ref="B258:C258"/>
    <mergeCell ref="B14:E14"/>
    <mergeCell ref="B16:C16"/>
    <mergeCell ref="E16:F16"/>
    <mergeCell ref="B20:C20"/>
    <mergeCell ref="B143:E143"/>
    <mergeCell ref="B47:G47"/>
    <mergeCell ref="B49:E49"/>
    <mergeCell ref="B83:E83"/>
    <mergeCell ref="C53:C64"/>
    <mergeCell ref="E53:E64"/>
    <mergeCell ref="B112:F112"/>
    <mergeCell ref="B123:F123"/>
    <mergeCell ref="B51:G51"/>
  </mergeCells>
  <pageMargins left="0.7" right="0.7" top="0.75" bottom="0.75" header="0.3" footer="0.3"/>
  <drawing r:id="rId1"/>
  <legacyDrawing r:id="rId2"/>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8A39ED-1218-4FA2-A9A5-F7ED27B8BF78}">
  <sheetPr>
    <tabColor theme="8"/>
  </sheetPr>
  <dimension ref="B1:L257"/>
  <sheetViews>
    <sheetView topLeftCell="A12" zoomScaleNormal="100" workbookViewId="0">
      <selection activeCell="G160" sqref="G160"/>
    </sheetView>
  </sheetViews>
  <sheetFormatPr defaultRowHeight="15"/>
  <cols>
    <col min="2" max="2" width="21.42578125" customWidth="1"/>
    <col min="3" max="3" width="16.5703125" customWidth="1"/>
    <col min="4" max="4" width="20.140625" customWidth="1"/>
    <col min="5" max="5" width="20.7109375" customWidth="1"/>
    <col min="6" max="6" width="21.42578125" customWidth="1"/>
    <col min="7" max="7" width="13.140625" customWidth="1"/>
    <col min="8" max="8" width="16.7109375" customWidth="1"/>
    <col min="9" max="9" width="15.42578125" customWidth="1"/>
  </cols>
  <sheetData>
    <row r="1" spans="2:12" ht="18.75">
      <c r="B1" s="379" t="s">
        <v>21</v>
      </c>
      <c r="C1" s="380"/>
    </row>
    <row r="3" spans="2:12" ht="19.5" thickBot="1">
      <c r="B3" s="62" t="s">
        <v>1701</v>
      </c>
      <c r="C3" s="76"/>
      <c r="D3" s="76"/>
      <c r="E3" s="76"/>
      <c r="F3" s="76"/>
      <c r="G3" s="76"/>
      <c r="H3" s="76"/>
    </row>
    <row r="5" spans="2:12" ht="15.75">
      <c r="B5" s="381" t="s">
        <v>1702</v>
      </c>
      <c r="C5" s="381"/>
      <c r="D5" s="381"/>
      <c r="E5" s="381"/>
      <c r="F5" s="381"/>
      <c r="G5" s="381"/>
      <c r="H5" s="381"/>
      <c r="I5" s="381"/>
      <c r="J5" s="381"/>
      <c r="K5" s="381"/>
      <c r="L5" s="381"/>
    </row>
    <row r="7" spans="2:12" ht="15.75">
      <c r="B7" s="368" t="s">
        <v>1478</v>
      </c>
      <c r="C7" s="368"/>
      <c r="D7" s="368"/>
      <c r="E7" s="368"/>
    </row>
    <row r="8" spans="2:12" ht="15.75" thickBot="1"/>
    <row r="9" spans="2:12" ht="15" customHeight="1" thickBot="1">
      <c r="B9" s="412" t="s">
        <v>1703</v>
      </c>
      <c r="C9" s="414"/>
      <c r="D9" s="78">
        <v>22113.143529077497</v>
      </c>
    </row>
    <row r="10" spans="2:12" ht="15" customHeight="1">
      <c r="G10" s="152"/>
    </row>
    <row r="11" spans="2:12" ht="15" customHeight="1">
      <c r="B11" s="368" t="s">
        <v>1437</v>
      </c>
      <c r="C11" s="368"/>
      <c r="D11" s="368"/>
      <c r="E11" s="368"/>
    </row>
    <row r="12" spans="2:12" ht="15" customHeight="1" thickBot="1"/>
    <row r="13" spans="2:12" ht="15" customHeight="1" thickBot="1">
      <c r="B13" s="412" t="s">
        <v>1703</v>
      </c>
      <c r="C13" s="414"/>
      <c r="D13" s="78">
        <v>2305.9614054133513</v>
      </c>
    </row>
    <row r="14" spans="2:12" ht="15" customHeight="1"/>
    <row r="15" spans="2:12" ht="15" customHeight="1"/>
    <row r="16" spans="2:12" ht="15.75">
      <c r="B16" s="381" t="s">
        <v>1704</v>
      </c>
      <c r="C16" s="381"/>
      <c r="D16" s="381"/>
      <c r="E16" s="381"/>
      <c r="F16" s="381"/>
      <c r="G16" s="381"/>
      <c r="H16" s="381"/>
      <c r="I16" s="381"/>
      <c r="J16" s="381"/>
      <c r="K16" s="381"/>
      <c r="L16" s="381"/>
    </row>
    <row r="18" spans="2:9" ht="15.75">
      <c r="B18" s="368" t="s">
        <v>1413</v>
      </c>
      <c r="C18" s="368"/>
      <c r="D18" s="368"/>
      <c r="E18" s="368"/>
    </row>
    <row r="19" spans="2:9" ht="15.75" thickBot="1"/>
    <row r="20" spans="2:9" ht="15.75" thickBot="1">
      <c r="B20" s="409" t="s">
        <v>1705</v>
      </c>
      <c r="C20" s="410"/>
      <c r="D20" s="410"/>
      <c r="E20" s="411"/>
      <c r="F20" s="163" t="s">
        <v>776</v>
      </c>
      <c r="H20" s="371" t="s">
        <v>1706</v>
      </c>
      <c r="I20" s="372"/>
    </row>
    <row r="21" spans="2:9" ht="16.5" thickBot="1">
      <c r="B21" s="421" t="s">
        <v>1707</v>
      </c>
      <c r="C21" s="422"/>
      <c r="D21" s="422"/>
      <c r="E21" s="423"/>
      <c r="F21" s="164">
        <v>0.14553990610328638</v>
      </c>
      <c r="H21" s="157" t="s">
        <v>1708</v>
      </c>
      <c r="I21" s="96">
        <v>8734</v>
      </c>
    </row>
    <row r="22" spans="2:9" ht="15.75" thickBot="1">
      <c r="B22" s="424" t="s">
        <v>1709</v>
      </c>
      <c r="C22" s="425"/>
      <c r="D22" s="425"/>
      <c r="E22" s="426"/>
      <c r="F22" s="96">
        <f>F21*I21</f>
        <v>1271.1455399061033</v>
      </c>
    </row>
    <row r="23" spans="2:9" ht="15.75" thickBot="1"/>
    <row r="24" spans="2:9" ht="15.75" thickBot="1">
      <c r="B24" s="409" t="s">
        <v>1710</v>
      </c>
      <c r="C24" s="410"/>
      <c r="D24" s="410"/>
      <c r="E24" s="410"/>
      <c r="F24" s="410"/>
      <c r="G24" s="410"/>
      <c r="H24" s="410"/>
      <c r="I24" s="411"/>
    </row>
    <row r="25" spans="2:9" ht="15.75" thickBot="1">
      <c r="B25" s="369" t="s">
        <v>1711</v>
      </c>
      <c r="C25" s="370"/>
      <c r="D25" s="370"/>
      <c r="E25" s="370"/>
      <c r="F25" s="370"/>
      <c r="G25" s="370"/>
      <c r="H25" s="370"/>
      <c r="I25" s="370"/>
    </row>
    <row r="26" spans="2:9" ht="16.5" thickBot="1">
      <c r="B26" s="415" t="s">
        <v>1712</v>
      </c>
      <c r="C26" s="415" t="s">
        <v>1713</v>
      </c>
      <c r="D26" s="415" t="s">
        <v>1714</v>
      </c>
      <c r="E26" s="415" t="s">
        <v>1715</v>
      </c>
      <c r="F26" s="415" t="s">
        <v>1716</v>
      </c>
      <c r="G26" s="419" t="s">
        <v>767</v>
      </c>
      <c r="H26" s="420"/>
      <c r="I26" s="420"/>
    </row>
    <row r="27" spans="2:9" ht="48" thickBot="1">
      <c r="B27" s="416"/>
      <c r="C27" s="416"/>
      <c r="D27" s="416"/>
      <c r="E27" s="416"/>
      <c r="F27" s="416"/>
      <c r="G27" s="165" t="s">
        <v>1717</v>
      </c>
      <c r="H27" s="165" t="s">
        <v>1718</v>
      </c>
      <c r="I27" s="165" t="s">
        <v>1719</v>
      </c>
    </row>
    <row r="28" spans="2:9" ht="15.75" thickBot="1">
      <c r="B28" s="147" t="s">
        <v>1720</v>
      </c>
      <c r="C28" s="148">
        <v>0.75</v>
      </c>
      <c r="D28" s="166">
        <f>$F$22*C28</f>
        <v>953.35915492957747</v>
      </c>
      <c r="E28" s="96">
        <v>1.29</v>
      </c>
      <c r="F28" s="78">
        <f>D28*E28</f>
        <v>1229.833309859155</v>
      </c>
      <c r="G28" s="78">
        <v>0.1</v>
      </c>
      <c r="H28" s="96">
        <v>0.95</v>
      </c>
      <c r="I28" s="167">
        <v>0.6</v>
      </c>
    </row>
    <row r="29" spans="2:9" ht="15.75" thickBot="1">
      <c r="B29" s="147" t="s">
        <v>1721</v>
      </c>
      <c r="C29" s="148">
        <v>0.25</v>
      </c>
      <c r="D29" s="166">
        <f>$F$22*C29</f>
        <v>317.78638497652582</v>
      </c>
      <c r="E29" s="96">
        <v>1.29</v>
      </c>
      <c r="F29" s="78">
        <f>D29*E29</f>
        <v>409.94443661971832</v>
      </c>
      <c r="G29" s="78">
        <v>0.1</v>
      </c>
      <c r="H29" s="96">
        <v>0.95</v>
      </c>
      <c r="I29" s="167">
        <v>0.6</v>
      </c>
    </row>
    <row r="32" spans="2:9" ht="15.75">
      <c r="B32" s="368" t="s">
        <v>1478</v>
      </c>
      <c r="C32" s="368"/>
      <c r="D32" s="368"/>
      <c r="E32" s="368"/>
    </row>
    <row r="33" spans="2:9" ht="15.75" thickBot="1"/>
    <row r="34" spans="2:9" ht="15.75" thickBot="1">
      <c r="B34" s="409" t="s">
        <v>1722</v>
      </c>
      <c r="C34" s="410"/>
      <c r="D34" s="410"/>
      <c r="E34" s="411"/>
      <c r="F34" s="163" t="s">
        <v>776</v>
      </c>
      <c r="H34" s="371" t="s">
        <v>1723</v>
      </c>
      <c r="I34" s="372"/>
    </row>
    <row r="35" spans="2:9" ht="16.5" thickBot="1">
      <c r="B35" s="421" t="s">
        <v>1724</v>
      </c>
      <c r="C35" s="422"/>
      <c r="D35" s="422"/>
      <c r="E35" s="423"/>
      <c r="F35" s="164">
        <v>3.306122448979592</v>
      </c>
      <c r="H35" s="157" t="s">
        <v>1725</v>
      </c>
      <c r="I35" s="96">
        <v>1040</v>
      </c>
    </row>
    <row r="36" spans="2:9" ht="15.75" thickBot="1">
      <c r="B36" s="424" t="s">
        <v>1726</v>
      </c>
      <c r="C36" s="425"/>
      <c r="D36" s="425"/>
      <c r="E36" s="426"/>
      <c r="F36" s="96">
        <f>F35*I35</f>
        <v>3438.3673469387754</v>
      </c>
    </row>
    <row r="37" spans="2:9" ht="15.75" thickBot="1"/>
    <row r="38" spans="2:9" ht="15.75" thickBot="1">
      <c r="B38" s="409" t="s">
        <v>1710</v>
      </c>
      <c r="C38" s="410"/>
      <c r="D38" s="410"/>
      <c r="E38" s="410"/>
      <c r="F38" s="410"/>
      <c r="G38" s="410"/>
      <c r="H38" s="410"/>
      <c r="I38" s="411"/>
    </row>
    <row r="39" spans="2:9" ht="33.75" customHeight="1" thickBot="1">
      <c r="B39" s="369" t="s">
        <v>1711</v>
      </c>
      <c r="C39" s="370"/>
      <c r="D39" s="370"/>
      <c r="E39" s="370"/>
      <c r="F39" s="370"/>
      <c r="G39" s="370"/>
      <c r="H39" s="370"/>
      <c r="I39" s="370"/>
    </row>
    <row r="40" spans="2:9" ht="16.5" thickBot="1">
      <c r="B40" s="415" t="s">
        <v>1712</v>
      </c>
      <c r="C40" s="415" t="s">
        <v>1713</v>
      </c>
      <c r="D40" s="415" t="s">
        <v>1714</v>
      </c>
      <c r="E40" s="415" t="s">
        <v>1715</v>
      </c>
      <c r="F40" s="415" t="s">
        <v>1716</v>
      </c>
      <c r="G40" s="419" t="s">
        <v>767</v>
      </c>
      <c r="H40" s="420"/>
      <c r="I40" s="420"/>
    </row>
    <row r="41" spans="2:9" ht="48" thickBot="1">
      <c r="B41" s="416"/>
      <c r="C41" s="416"/>
      <c r="D41" s="416"/>
      <c r="E41" s="416"/>
      <c r="F41" s="416"/>
      <c r="G41" s="165" t="s">
        <v>1717</v>
      </c>
      <c r="H41" s="165" t="s">
        <v>1718</v>
      </c>
      <c r="I41" s="165" t="s">
        <v>1719</v>
      </c>
    </row>
    <row r="42" spans="2:9" ht="15.75" thickBot="1">
      <c r="B42" s="147" t="s">
        <v>1727</v>
      </c>
      <c r="C42" s="148">
        <v>0.39</v>
      </c>
      <c r="D42" s="166">
        <f>$F$36*C42</f>
        <v>1340.9632653061224</v>
      </c>
      <c r="E42" s="96">
        <v>1.29</v>
      </c>
      <c r="F42" s="78">
        <f>D42*E42</f>
        <v>1729.842612244898</v>
      </c>
      <c r="G42" s="78">
        <v>0.1</v>
      </c>
      <c r="H42" s="96">
        <v>0.95</v>
      </c>
      <c r="I42" s="167">
        <v>0.6</v>
      </c>
    </row>
    <row r="43" spans="2:9" ht="15.75" thickBot="1">
      <c r="B43" s="147" t="s">
        <v>1728</v>
      </c>
      <c r="C43" s="148">
        <v>0.01</v>
      </c>
      <c r="D43" s="166">
        <f t="shared" ref="D43:D45" si="0">$F$36*C43</f>
        <v>34.383673469387752</v>
      </c>
      <c r="E43" s="96">
        <v>1.29</v>
      </c>
      <c r="F43" s="78">
        <f t="shared" ref="F43:F45" si="1">D43*E43</f>
        <v>44.354938775510199</v>
      </c>
      <c r="G43" s="78">
        <v>0.1</v>
      </c>
      <c r="H43" s="96">
        <v>0.95</v>
      </c>
      <c r="I43" s="167">
        <v>0.6</v>
      </c>
    </row>
    <row r="44" spans="2:9" ht="15.75" thickBot="1">
      <c r="B44" s="147" t="s">
        <v>1721</v>
      </c>
      <c r="C44" s="148">
        <v>0.31</v>
      </c>
      <c r="D44" s="166">
        <f t="shared" si="0"/>
        <v>1065.8938775510203</v>
      </c>
      <c r="E44" s="96">
        <v>1.29</v>
      </c>
      <c r="F44" s="78">
        <f t="shared" si="1"/>
        <v>1375.0031020408162</v>
      </c>
      <c r="G44" s="78">
        <v>0.1</v>
      </c>
      <c r="H44" s="96">
        <v>0.95</v>
      </c>
      <c r="I44" s="167">
        <v>0.6</v>
      </c>
    </row>
    <row r="45" spans="2:9" ht="15.75" thickBot="1">
      <c r="B45" s="147" t="s">
        <v>1720</v>
      </c>
      <c r="C45" s="148">
        <v>0.27</v>
      </c>
      <c r="D45" s="166">
        <f t="shared" si="0"/>
        <v>928.35918367346937</v>
      </c>
      <c r="E45" s="96">
        <v>1.29</v>
      </c>
      <c r="F45" s="78">
        <f t="shared" si="1"/>
        <v>1197.5833469387755</v>
      </c>
      <c r="G45" s="78">
        <v>0.1</v>
      </c>
      <c r="H45" s="96">
        <v>0.95</v>
      </c>
      <c r="I45" s="167">
        <v>0.6</v>
      </c>
    </row>
    <row r="46" spans="2:9" ht="15.75" thickBot="1">
      <c r="B46" s="147" t="s">
        <v>1729</v>
      </c>
      <c r="C46" s="148">
        <v>0.39</v>
      </c>
      <c r="D46" s="166">
        <f>$F$36*C46</f>
        <v>1340.9632653061224</v>
      </c>
      <c r="E46" s="96">
        <v>1.29</v>
      </c>
      <c r="F46" s="78">
        <f>D46*E46</f>
        <v>1729.842612244898</v>
      </c>
      <c r="G46" s="78">
        <v>0.1</v>
      </c>
      <c r="H46" s="96">
        <v>0.95</v>
      </c>
      <c r="I46" s="167">
        <v>0.6</v>
      </c>
    </row>
    <row r="48" spans="2:9" ht="15.75" thickBot="1"/>
    <row r="49" spans="2:9" ht="15.75" thickBot="1">
      <c r="B49" s="412" t="s">
        <v>1730</v>
      </c>
      <c r="C49" s="413"/>
      <c r="D49" s="414"/>
    </row>
    <row r="50" spans="2:9">
      <c r="B50" s="415" t="s">
        <v>1712</v>
      </c>
      <c r="C50" s="415" t="s">
        <v>1731</v>
      </c>
      <c r="D50" s="417"/>
    </row>
    <row r="51" spans="2:9" ht="15.75" thickBot="1">
      <c r="B51" s="416"/>
      <c r="C51" s="416"/>
      <c r="D51" s="418"/>
    </row>
    <row r="52" spans="2:9" ht="15.75" thickBot="1">
      <c r="B52" s="147" t="s">
        <v>1727</v>
      </c>
      <c r="C52" s="97">
        <v>1073.9478639455785</v>
      </c>
      <c r="D52" s="98"/>
    </row>
    <row r="53" spans="2:9" ht="15.75" thickBot="1">
      <c r="B53" s="147" t="s">
        <v>1728</v>
      </c>
      <c r="C53" s="97">
        <v>24.094040816326537</v>
      </c>
      <c r="D53" s="98"/>
    </row>
    <row r="54" spans="2:9" ht="15.75" thickBot="1">
      <c r="B54" s="147" t="s">
        <v>1721</v>
      </c>
      <c r="C54" s="97">
        <v>906.85971665472937</v>
      </c>
      <c r="D54" s="98"/>
    </row>
    <row r="55" spans="2:9" ht="15.75" thickBot="1">
      <c r="B55" s="147" t="s">
        <v>1720</v>
      </c>
      <c r="C55" s="97">
        <v>769.18400000000031</v>
      </c>
      <c r="D55" s="98"/>
    </row>
    <row r="56" spans="2:9" ht="15.75" thickBot="1">
      <c r="B56" s="147" t="s">
        <v>1729</v>
      </c>
      <c r="C56" s="97">
        <v>66.441142857142864</v>
      </c>
      <c r="D56" s="98"/>
    </row>
    <row r="59" spans="2:9" ht="15.75">
      <c r="B59" s="368" t="s">
        <v>1437</v>
      </c>
      <c r="C59" s="368"/>
      <c r="D59" s="368"/>
      <c r="E59" s="368"/>
    </row>
    <row r="60" spans="2:9" ht="15.75" thickBot="1"/>
    <row r="61" spans="2:9" ht="15.75" thickBot="1">
      <c r="B61" s="409" t="s">
        <v>1722</v>
      </c>
      <c r="C61" s="410"/>
      <c r="D61" s="410"/>
      <c r="E61" s="411"/>
      <c r="F61" s="163" t="s">
        <v>776</v>
      </c>
      <c r="H61" s="371" t="s">
        <v>1732</v>
      </c>
      <c r="I61" s="372"/>
    </row>
    <row r="62" spans="2:9" ht="16.5" thickBot="1">
      <c r="B62" s="421" t="s">
        <v>1733</v>
      </c>
      <c r="C62" s="422"/>
      <c r="D62" s="422"/>
      <c r="E62" s="423"/>
      <c r="F62" s="164">
        <v>42.035714285714285</v>
      </c>
      <c r="H62" s="157" t="s">
        <v>1734</v>
      </c>
      <c r="I62" s="96">
        <v>37</v>
      </c>
    </row>
    <row r="63" spans="2:9" ht="15.75" thickBot="1">
      <c r="B63" s="424" t="s">
        <v>1735</v>
      </c>
      <c r="C63" s="425"/>
      <c r="D63" s="425"/>
      <c r="E63" s="426"/>
      <c r="F63" s="96">
        <f>F62*I62</f>
        <v>1555.3214285714284</v>
      </c>
    </row>
    <row r="64" spans="2:9" ht="15.75" thickBot="1"/>
    <row r="65" spans="2:9" ht="15.75" thickBot="1">
      <c r="B65" s="409" t="s">
        <v>1710</v>
      </c>
      <c r="C65" s="410"/>
      <c r="D65" s="410"/>
      <c r="E65" s="410"/>
      <c r="F65" s="410"/>
      <c r="G65" s="410"/>
      <c r="H65" s="410"/>
      <c r="I65" s="411"/>
    </row>
    <row r="66" spans="2:9" ht="37.5" customHeight="1" thickBot="1">
      <c r="B66" s="369" t="s">
        <v>1711</v>
      </c>
      <c r="C66" s="370"/>
      <c r="D66" s="370"/>
      <c r="E66" s="370"/>
      <c r="F66" s="370"/>
      <c r="G66" s="370"/>
      <c r="H66" s="370"/>
      <c r="I66" s="370"/>
    </row>
    <row r="67" spans="2:9" ht="16.5" thickBot="1">
      <c r="B67" s="415" t="s">
        <v>1712</v>
      </c>
      <c r="C67" s="415" t="s">
        <v>1713</v>
      </c>
      <c r="D67" s="415" t="s">
        <v>1714</v>
      </c>
      <c r="E67" s="415" t="s">
        <v>1715</v>
      </c>
      <c r="F67" s="415" t="s">
        <v>1716</v>
      </c>
      <c r="G67" s="419" t="s">
        <v>767</v>
      </c>
      <c r="H67" s="420"/>
      <c r="I67" s="420"/>
    </row>
    <row r="68" spans="2:9" ht="48" thickBot="1">
      <c r="B68" s="416"/>
      <c r="C68" s="416"/>
      <c r="D68" s="416"/>
      <c r="E68" s="416"/>
      <c r="F68" s="416"/>
      <c r="G68" s="165" t="s">
        <v>1717</v>
      </c>
      <c r="H68" s="165" t="s">
        <v>1718</v>
      </c>
      <c r="I68" s="165" t="s">
        <v>1719</v>
      </c>
    </row>
    <row r="69" spans="2:9" ht="15.75" thickBot="1">
      <c r="B69" s="147" t="s">
        <v>1736</v>
      </c>
      <c r="C69" s="148">
        <v>0.03</v>
      </c>
      <c r="D69" s="166">
        <f>$F$63*C69</f>
        <v>46.659642857142849</v>
      </c>
      <c r="E69" s="96">
        <v>1.29</v>
      </c>
      <c r="F69" s="78">
        <f>D69*E69</f>
        <v>60.190939285714279</v>
      </c>
      <c r="G69" s="78">
        <v>0.1</v>
      </c>
      <c r="H69" s="96">
        <v>0.95</v>
      </c>
      <c r="I69" s="167">
        <v>0.6</v>
      </c>
    </row>
    <row r="70" spans="2:9" ht="15.75" thickBot="1">
      <c r="B70" s="147" t="s">
        <v>1727</v>
      </c>
      <c r="C70" s="148">
        <v>0.2</v>
      </c>
      <c r="D70" s="166">
        <f t="shared" ref="D70:D77" si="2">$F$63*C70</f>
        <v>311.06428571428569</v>
      </c>
      <c r="E70" s="96">
        <v>1.29</v>
      </c>
      <c r="F70" s="78">
        <f t="shared" ref="F70:F77" si="3">D70*E70</f>
        <v>401.27292857142857</v>
      </c>
      <c r="G70" s="78">
        <v>0.1</v>
      </c>
      <c r="H70" s="96">
        <v>0.95</v>
      </c>
      <c r="I70" s="167">
        <v>0.6</v>
      </c>
    </row>
    <row r="71" spans="2:9" ht="15.75" thickBot="1">
      <c r="B71" s="147" t="s">
        <v>1720</v>
      </c>
      <c r="C71" s="148">
        <v>0.17</v>
      </c>
      <c r="D71" s="166">
        <f t="shared" si="2"/>
        <v>264.40464285714285</v>
      </c>
      <c r="E71" s="96">
        <v>1.29</v>
      </c>
      <c r="F71" s="78">
        <f t="shared" si="3"/>
        <v>341.08198928571426</v>
      </c>
      <c r="G71" s="78">
        <v>0.1</v>
      </c>
      <c r="H71" s="96">
        <v>0.95</v>
      </c>
      <c r="I71" s="167">
        <v>0.6</v>
      </c>
    </row>
    <row r="72" spans="2:9" ht="15.75" thickBot="1">
      <c r="B72" s="147" t="s">
        <v>1737</v>
      </c>
      <c r="C72" s="148">
        <v>7.0000000000000007E-2</v>
      </c>
      <c r="D72" s="166">
        <f t="shared" si="2"/>
        <v>108.8725</v>
      </c>
      <c r="E72" s="96">
        <v>1.29</v>
      </c>
      <c r="F72" s="78">
        <f t="shared" si="3"/>
        <v>140.445525</v>
      </c>
      <c r="G72" s="78">
        <v>0.1</v>
      </c>
      <c r="H72" s="96">
        <v>0.95</v>
      </c>
      <c r="I72" s="167">
        <v>0.6</v>
      </c>
    </row>
    <row r="73" spans="2:9" ht="15.75" thickBot="1">
      <c r="B73" s="147" t="s">
        <v>1738</v>
      </c>
      <c r="C73" s="148">
        <v>0.03</v>
      </c>
      <c r="D73" s="166">
        <f t="shared" si="2"/>
        <v>46.659642857142849</v>
      </c>
      <c r="E73" s="96">
        <v>1.29</v>
      </c>
      <c r="F73" s="78">
        <f t="shared" si="3"/>
        <v>60.190939285714279</v>
      </c>
      <c r="G73" s="78">
        <v>0.1</v>
      </c>
      <c r="H73" s="96">
        <v>0.95</v>
      </c>
      <c r="I73" s="167">
        <v>0.6</v>
      </c>
    </row>
    <row r="74" spans="2:9" ht="15.75" thickBot="1">
      <c r="B74" s="147" t="s">
        <v>1721</v>
      </c>
      <c r="C74" s="148">
        <v>0.37</v>
      </c>
      <c r="D74" s="166">
        <f t="shared" si="2"/>
        <v>575.46892857142848</v>
      </c>
      <c r="E74" s="96">
        <v>1.29</v>
      </c>
      <c r="F74" s="78">
        <f t="shared" si="3"/>
        <v>742.35491785714271</v>
      </c>
      <c r="G74" s="78">
        <v>0.1</v>
      </c>
      <c r="H74" s="96">
        <v>0.95</v>
      </c>
      <c r="I74" s="167">
        <v>0.6</v>
      </c>
    </row>
    <row r="75" spans="2:9" ht="15.75" thickBot="1">
      <c r="B75" s="147" t="s">
        <v>755</v>
      </c>
      <c r="C75" s="148">
        <v>0.03</v>
      </c>
      <c r="D75" s="166">
        <f t="shared" si="2"/>
        <v>46.659642857142849</v>
      </c>
      <c r="E75" s="96">
        <v>1.29</v>
      </c>
      <c r="F75" s="78">
        <f t="shared" si="3"/>
        <v>60.190939285714279</v>
      </c>
      <c r="G75" s="78">
        <v>0.1</v>
      </c>
      <c r="H75" s="96">
        <v>0.95</v>
      </c>
      <c r="I75" s="167">
        <v>0.6</v>
      </c>
    </row>
    <row r="76" spans="2:9" ht="15.75" thickBot="1">
      <c r="B76" s="147" t="s">
        <v>746</v>
      </c>
      <c r="C76" s="148">
        <v>7.0000000000000007E-2</v>
      </c>
      <c r="D76" s="166">
        <f t="shared" si="2"/>
        <v>108.8725</v>
      </c>
      <c r="E76" s="96">
        <v>1.29</v>
      </c>
      <c r="F76" s="78">
        <f t="shared" si="3"/>
        <v>140.445525</v>
      </c>
      <c r="G76" s="78">
        <v>0.1</v>
      </c>
      <c r="H76" s="96">
        <v>0.95</v>
      </c>
      <c r="I76" s="167">
        <v>0.6</v>
      </c>
    </row>
    <row r="77" spans="2:9" ht="15.75" thickBot="1">
      <c r="B77" s="147" t="s">
        <v>1115</v>
      </c>
      <c r="C77" s="148">
        <v>0.03</v>
      </c>
      <c r="D77" s="166">
        <f t="shared" si="2"/>
        <v>46.659642857142849</v>
      </c>
      <c r="E77" s="96">
        <v>1.29</v>
      </c>
      <c r="F77" s="78">
        <f t="shared" si="3"/>
        <v>60.190939285714279</v>
      </c>
      <c r="G77" s="78">
        <v>0.1</v>
      </c>
      <c r="H77" s="96">
        <v>0.95</v>
      </c>
      <c r="I77" s="167">
        <v>0.6</v>
      </c>
    </row>
    <row r="79" spans="2:9" ht="15.75" thickBot="1"/>
    <row r="80" spans="2:9" ht="15.75" thickBot="1">
      <c r="B80" s="412" t="s">
        <v>1739</v>
      </c>
      <c r="C80" s="413"/>
      <c r="D80" s="414"/>
    </row>
    <row r="81" spans="2:9">
      <c r="B81" s="415" t="s">
        <v>1712</v>
      </c>
      <c r="C81" s="415" t="s">
        <v>1731</v>
      </c>
      <c r="D81" s="417"/>
    </row>
    <row r="82" spans="2:9" ht="15.75" thickBot="1">
      <c r="B82" s="416"/>
      <c r="C82" s="416"/>
      <c r="D82" s="418"/>
    </row>
    <row r="83" spans="2:9" ht="15.75" thickBot="1">
      <c r="B83" s="147" t="s">
        <v>1736</v>
      </c>
      <c r="C83" s="97">
        <v>168.70850357142857</v>
      </c>
      <c r="D83" s="98"/>
    </row>
    <row r="84" spans="2:9" ht="15.75" thickBot="1">
      <c r="B84" s="147" t="s">
        <v>1727</v>
      </c>
      <c r="C84" s="97">
        <v>179.44831345862002</v>
      </c>
      <c r="D84" s="98"/>
    </row>
    <row r="85" spans="2:9" ht="15.75" thickBot="1">
      <c r="B85" s="147" t="s">
        <v>1720</v>
      </c>
      <c r="C85" s="97">
        <v>732.2346081954845</v>
      </c>
      <c r="D85" s="98"/>
    </row>
    <row r="86" spans="2:9" ht="15.75" thickBot="1">
      <c r="B86" s="147" t="s">
        <v>1737</v>
      </c>
      <c r="C86" s="97">
        <v>80.697567984958852</v>
      </c>
      <c r="D86" s="98"/>
    </row>
    <row r="87" spans="2:9" ht="15.75" thickBot="1">
      <c r="B87" s="147" t="s">
        <v>1738</v>
      </c>
      <c r="C87" s="97">
        <v>4.9735928571428571</v>
      </c>
      <c r="D87" s="98"/>
    </row>
    <row r="88" spans="2:9" ht="15.75" thickBot="1">
      <c r="B88" s="147" t="s">
        <v>1721</v>
      </c>
      <c r="C88" s="97">
        <v>658.08312206765152</v>
      </c>
      <c r="D88" s="98"/>
    </row>
    <row r="89" spans="2:9" ht="15.75" thickBot="1">
      <c r="B89" s="147" t="s">
        <v>755</v>
      </c>
      <c r="C89" s="97">
        <v>39.747744962397157</v>
      </c>
      <c r="D89" s="98"/>
    </row>
    <row r="90" spans="2:9" ht="15.75" thickBot="1">
      <c r="B90" s="147" t="s">
        <v>746</v>
      </c>
      <c r="C90" s="97">
        <v>1479.7121928571428</v>
      </c>
      <c r="D90" s="98"/>
    </row>
    <row r="91" spans="2:9" ht="15.75" thickBot="1">
      <c r="B91" s="147" t="s">
        <v>1115</v>
      </c>
      <c r="C91" s="97">
        <v>168.70850357142857</v>
      </c>
      <c r="D91" s="98"/>
    </row>
    <row r="94" spans="2:9" ht="15.75" thickBot="1"/>
    <row r="95" spans="2:9" ht="15.75" thickBot="1">
      <c r="B95" s="409" t="s">
        <v>1740</v>
      </c>
      <c r="C95" s="410"/>
      <c r="D95" s="410"/>
      <c r="E95" s="411"/>
      <c r="F95" s="163" t="s">
        <v>776</v>
      </c>
      <c r="H95" s="371" t="s">
        <v>1732</v>
      </c>
      <c r="I95" s="372"/>
    </row>
    <row r="96" spans="2:9" ht="16.5" thickBot="1">
      <c r="B96" s="421" t="s">
        <v>1733</v>
      </c>
      <c r="C96" s="422"/>
      <c r="D96" s="422"/>
      <c r="E96" s="423"/>
      <c r="F96" s="164">
        <v>0.8214285714285714</v>
      </c>
      <c r="H96" s="157" t="s">
        <v>1734</v>
      </c>
      <c r="I96" s="96">
        <v>37</v>
      </c>
    </row>
    <row r="97" spans="2:9" ht="15.75" thickBot="1">
      <c r="B97" s="424" t="s">
        <v>1735</v>
      </c>
      <c r="C97" s="425"/>
      <c r="D97" s="425"/>
      <c r="E97" s="426"/>
      <c r="F97" s="96">
        <f>F96*I96</f>
        <v>30.392857142857142</v>
      </c>
    </row>
    <row r="98" spans="2:9" ht="15.75" thickBot="1"/>
    <row r="99" spans="2:9" ht="15.75" thickBot="1">
      <c r="B99" s="409" t="s">
        <v>1741</v>
      </c>
      <c r="C99" s="410"/>
      <c r="D99" s="410"/>
      <c r="E99" s="410"/>
      <c r="F99" s="410"/>
      <c r="G99" s="410"/>
      <c r="H99" s="410"/>
      <c r="I99" s="411"/>
    </row>
    <row r="100" spans="2:9" ht="36.75" customHeight="1" thickBot="1">
      <c r="B100" s="369" t="s">
        <v>1711</v>
      </c>
      <c r="C100" s="370"/>
      <c r="D100" s="370"/>
      <c r="E100" s="370"/>
      <c r="F100" s="370"/>
      <c r="G100" s="370"/>
      <c r="H100" s="370"/>
      <c r="I100" s="370"/>
    </row>
    <row r="101" spans="2:9" ht="16.5" thickBot="1">
      <c r="B101" s="415" t="s">
        <v>1712</v>
      </c>
      <c r="C101" s="415" t="s">
        <v>1713</v>
      </c>
      <c r="D101" s="415" t="s">
        <v>1714</v>
      </c>
      <c r="E101" s="415" t="s">
        <v>1715</v>
      </c>
      <c r="F101" s="415" t="s">
        <v>1716</v>
      </c>
      <c r="G101" s="419" t="s">
        <v>767</v>
      </c>
      <c r="H101" s="420"/>
      <c r="I101" s="420"/>
    </row>
    <row r="102" spans="2:9" ht="48" thickBot="1">
      <c r="B102" s="416"/>
      <c r="C102" s="416"/>
      <c r="D102" s="416"/>
      <c r="E102" s="416"/>
      <c r="F102" s="416"/>
      <c r="G102" s="165" t="s">
        <v>1717</v>
      </c>
      <c r="H102" s="165" t="s">
        <v>1718</v>
      </c>
      <c r="I102" s="165" t="s">
        <v>1719</v>
      </c>
    </row>
    <row r="103" spans="2:9" ht="15.75" thickBot="1">
      <c r="B103" s="147" t="s">
        <v>1736</v>
      </c>
      <c r="C103" s="148">
        <v>0.03</v>
      </c>
      <c r="D103" s="166">
        <f>$F$97*C103</f>
        <v>0.9117857142857142</v>
      </c>
      <c r="E103" s="96">
        <v>1.29</v>
      </c>
      <c r="F103" s="78">
        <f>D103*E103</f>
        <v>1.1762035714285715</v>
      </c>
      <c r="G103" s="167">
        <v>0.1</v>
      </c>
      <c r="H103" s="78">
        <v>0.95</v>
      </c>
      <c r="I103" s="167">
        <v>0.6</v>
      </c>
    </row>
    <row r="104" spans="2:9" ht="15.75" thickBot="1">
      <c r="B104" s="147" t="s">
        <v>1727</v>
      </c>
      <c r="C104" s="148">
        <v>0.2</v>
      </c>
      <c r="D104" s="166">
        <f t="shared" ref="D104:D110" si="4">$F$97*C104</f>
        <v>6.0785714285714292</v>
      </c>
      <c r="E104" s="96">
        <v>1.29</v>
      </c>
      <c r="F104" s="78">
        <f t="shared" ref="F104:F111" si="5">D104*E104</f>
        <v>7.8413571428571442</v>
      </c>
      <c r="G104" s="167">
        <v>0.1</v>
      </c>
      <c r="H104" s="78">
        <v>0.95</v>
      </c>
      <c r="I104" s="167">
        <v>0.6</v>
      </c>
    </row>
    <row r="105" spans="2:9" ht="15.75" thickBot="1">
      <c r="B105" s="147" t="s">
        <v>1720</v>
      </c>
      <c r="C105" s="148">
        <v>0.17</v>
      </c>
      <c r="D105" s="166">
        <f t="shared" si="4"/>
        <v>5.166785714285715</v>
      </c>
      <c r="E105" s="96">
        <v>1.29</v>
      </c>
      <c r="F105" s="78">
        <f t="shared" si="5"/>
        <v>6.6651535714285721</v>
      </c>
      <c r="G105" s="167">
        <v>0.1</v>
      </c>
      <c r="H105" s="78">
        <v>0.95</v>
      </c>
      <c r="I105" s="167">
        <v>0.6</v>
      </c>
    </row>
    <row r="106" spans="2:9" ht="15.75" thickBot="1">
      <c r="B106" s="147" t="s">
        <v>1737</v>
      </c>
      <c r="C106" s="148">
        <v>7.0000000000000007E-2</v>
      </c>
      <c r="D106" s="166">
        <f t="shared" si="4"/>
        <v>2.1274999999999999</v>
      </c>
      <c r="E106" s="96">
        <v>1.29</v>
      </c>
      <c r="F106" s="78">
        <f t="shared" si="5"/>
        <v>2.744475</v>
      </c>
      <c r="G106" s="167">
        <v>0.1</v>
      </c>
      <c r="H106" s="78">
        <v>0.95</v>
      </c>
      <c r="I106" s="167">
        <v>0.6</v>
      </c>
    </row>
    <row r="107" spans="2:9" ht="15.75" thickBot="1">
      <c r="B107" s="147" t="s">
        <v>1738</v>
      </c>
      <c r="C107" s="148">
        <v>0.03</v>
      </c>
      <c r="D107" s="166">
        <f t="shared" si="4"/>
        <v>0.9117857142857142</v>
      </c>
      <c r="E107" s="96">
        <v>1.29</v>
      </c>
      <c r="F107" s="78">
        <f t="shared" si="5"/>
        <v>1.1762035714285715</v>
      </c>
      <c r="G107" s="167">
        <v>0.1</v>
      </c>
      <c r="H107" s="78">
        <v>0.95</v>
      </c>
      <c r="I107" s="167">
        <v>0.6</v>
      </c>
    </row>
    <row r="108" spans="2:9" ht="15.75" thickBot="1">
      <c r="B108" s="147" t="s">
        <v>1721</v>
      </c>
      <c r="C108" s="148">
        <v>0.37</v>
      </c>
      <c r="D108" s="166">
        <f t="shared" si="4"/>
        <v>11.245357142857143</v>
      </c>
      <c r="E108" s="96">
        <v>1.29</v>
      </c>
      <c r="F108" s="78">
        <f t="shared" si="5"/>
        <v>14.506510714285715</v>
      </c>
      <c r="G108" s="167">
        <v>0.1</v>
      </c>
      <c r="H108" s="78">
        <v>0.95</v>
      </c>
      <c r="I108" s="167">
        <v>0.6</v>
      </c>
    </row>
    <row r="109" spans="2:9" ht="15.75" thickBot="1">
      <c r="B109" s="147" t="s">
        <v>755</v>
      </c>
      <c r="C109" s="148">
        <v>0.03</v>
      </c>
      <c r="D109" s="166">
        <f t="shared" si="4"/>
        <v>0.9117857142857142</v>
      </c>
      <c r="E109" s="96">
        <v>1.29</v>
      </c>
      <c r="F109" s="78">
        <f t="shared" si="5"/>
        <v>1.1762035714285715</v>
      </c>
      <c r="G109" s="167">
        <v>0.1</v>
      </c>
      <c r="H109" s="78">
        <v>0.95</v>
      </c>
      <c r="I109" s="167">
        <v>0.6</v>
      </c>
    </row>
    <row r="110" spans="2:9" ht="15.75" thickBot="1">
      <c r="B110" s="147" t="s">
        <v>746</v>
      </c>
      <c r="C110" s="148">
        <v>7.0000000000000007E-2</v>
      </c>
      <c r="D110" s="166">
        <f t="shared" si="4"/>
        <v>2.1274999999999999</v>
      </c>
      <c r="E110" s="96">
        <v>1.29</v>
      </c>
      <c r="F110" s="78">
        <f t="shared" si="5"/>
        <v>2.744475</v>
      </c>
      <c r="G110" s="167">
        <v>0.1</v>
      </c>
      <c r="H110" s="78">
        <v>0.95</v>
      </c>
      <c r="I110" s="167">
        <v>0.6</v>
      </c>
    </row>
    <row r="111" spans="2:9" ht="15.75" thickBot="1">
      <c r="B111" s="147" t="s">
        <v>1115</v>
      </c>
      <c r="C111" s="148">
        <v>0.03</v>
      </c>
      <c r="D111" s="166">
        <f>$F$97*C111</f>
        <v>0.9117857142857142</v>
      </c>
      <c r="E111" s="96">
        <v>1.29</v>
      </c>
      <c r="F111" s="78">
        <f t="shared" si="5"/>
        <v>1.1762035714285715</v>
      </c>
      <c r="G111" s="167">
        <v>0.1</v>
      </c>
      <c r="H111" s="78">
        <v>0.95</v>
      </c>
      <c r="I111" s="167">
        <v>0.6</v>
      </c>
    </row>
    <row r="115" spans="2:12" ht="15.75">
      <c r="B115" s="381" t="s">
        <v>1742</v>
      </c>
      <c r="C115" s="381"/>
      <c r="D115" s="381"/>
      <c r="E115" s="381"/>
      <c r="F115" s="381"/>
      <c r="G115" s="381"/>
      <c r="H115" s="381"/>
      <c r="I115" s="381"/>
      <c r="J115" s="381"/>
      <c r="K115" s="381"/>
      <c r="L115" s="381"/>
    </row>
    <row r="117" spans="2:12" ht="15.75">
      <c r="B117" s="433" t="s">
        <v>1743</v>
      </c>
      <c r="C117" s="434"/>
      <c r="D117" s="434"/>
      <c r="E117" s="434"/>
      <c r="F117" s="434"/>
      <c r="G117" s="434"/>
    </row>
    <row r="118" spans="2:12" ht="15.75" thickBot="1"/>
    <row r="119" spans="2:12" ht="15.75" thickBot="1">
      <c r="B119" s="409" t="s">
        <v>1744</v>
      </c>
      <c r="C119" s="410"/>
      <c r="D119" s="410"/>
      <c r="E119" s="410"/>
      <c r="F119" s="410"/>
      <c r="G119" s="410"/>
      <c r="H119" s="410"/>
      <c r="I119" s="411"/>
    </row>
    <row r="120" spans="2:12" ht="52.5" customHeight="1" thickBot="1">
      <c r="B120" s="369" t="s">
        <v>1745</v>
      </c>
      <c r="C120" s="370"/>
      <c r="D120" s="370"/>
      <c r="E120" s="370"/>
      <c r="F120" s="370"/>
      <c r="G120" s="370"/>
      <c r="H120" s="370"/>
      <c r="I120" s="370"/>
    </row>
    <row r="121" spans="2:12" ht="16.5" thickBot="1">
      <c r="B121" s="415" t="s">
        <v>1712</v>
      </c>
      <c r="C121" s="415" t="s">
        <v>1713</v>
      </c>
      <c r="D121" s="415" t="s">
        <v>1714</v>
      </c>
      <c r="E121" s="415" t="s">
        <v>1715</v>
      </c>
      <c r="F121" s="415" t="s">
        <v>1716</v>
      </c>
      <c r="G121" s="419" t="s">
        <v>767</v>
      </c>
      <c r="H121" s="420"/>
      <c r="I121" s="420"/>
    </row>
    <row r="122" spans="2:12" ht="48" thickBot="1">
      <c r="B122" s="416"/>
      <c r="C122" s="416"/>
      <c r="D122" s="416"/>
      <c r="E122" s="416"/>
      <c r="F122" s="416"/>
      <c r="G122" s="165" t="s">
        <v>1717</v>
      </c>
      <c r="H122" s="165" t="s">
        <v>1718</v>
      </c>
      <c r="I122" s="165" t="s">
        <v>1719</v>
      </c>
    </row>
    <row r="123" spans="2:12" ht="15.75" thickBot="1">
      <c r="B123" s="147" t="s">
        <v>1746</v>
      </c>
      <c r="C123" s="148">
        <v>0.7</v>
      </c>
      <c r="D123" s="166">
        <f>C123*$I$21</f>
        <v>6113.7999999999993</v>
      </c>
      <c r="E123" s="164">
        <v>0.10199999999999999</v>
      </c>
      <c r="F123" s="78">
        <f>D123*E123</f>
        <v>623.60759999999993</v>
      </c>
      <c r="G123" s="78">
        <v>0.02</v>
      </c>
      <c r="H123" s="96">
        <v>0.8</v>
      </c>
      <c r="I123" s="167">
        <v>0.6</v>
      </c>
    </row>
    <row r="124" spans="2:12" ht="15.75" thickBot="1">
      <c r="B124" s="147" t="s">
        <v>1747</v>
      </c>
      <c r="C124" s="148">
        <v>0.3</v>
      </c>
      <c r="D124" s="166">
        <f>C124*$I$21</f>
        <v>2620.1999999999998</v>
      </c>
      <c r="E124" s="164">
        <v>0.10199999999999999</v>
      </c>
      <c r="F124" s="78">
        <f>E124*D124</f>
        <v>267.26039999999995</v>
      </c>
      <c r="G124" s="78">
        <v>0.02</v>
      </c>
      <c r="H124" s="96">
        <v>0.8</v>
      </c>
      <c r="I124" s="167">
        <v>0.6</v>
      </c>
    </row>
    <row r="127" spans="2:12" ht="15.75">
      <c r="B127" s="368" t="s">
        <v>1478</v>
      </c>
      <c r="C127" s="368"/>
      <c r="D127" s="368"/>
      <c r="E127" s="368"/>
    </row>
    <row r="128" spans="2:12" ht="15.75" thickBot="1"/>
    <row r="129" spans="2:9" ht="15.75" customHeight="1" thickBot="1">
      <c r="B129" s="409" t="s">
        <v>1748</v>
      </c>
      <c r="C129" s="410"/>
      <c r="D129" s="410"/>
      <c r="E129" s="411"/>
      <c r="F129" s="163" t="s">
        <v>776</v>
      </c>
      <c r="H129" s="371" t="s">
        <v>1723</v>
      </c>
      <c r="I129" s="372"/>
    </row>
    <row r="130" spans="2:9" ht="16.5" thickBot="1">
      <c r="B130" s="421" t="s">
        <v>1749</v>
      </c>
      <c r="C130" s="422"/>
      <c r="D130" s="422"/>
      <c r="E130" s="423"/>
      <c r="F130" s="164">
        <v>1.3605442176870748E-2</v>
      </c>
      <c r="H130" s="157" t="s">
        <v>1725</v>
      </c>
      <c r="I130" s="96">
        <v>1040</v>
      </c>
    </row>
    <row r="131" spans="2:9" ht="15.75" thickBot="1">
      <c r="B131" s="424" t="s">
        <v>1726</v>
      </c>
      <c r="C131" s="425"/>
      <c r="D131" s="425"/>
      <c r="E131" s="426"/>
      <c r="F131" s="96">
        <f>F130*I130</f>
        <v>14.149659863945578</v>
      </c>
    </row>
    <row r="132" spans="2:9" ht="15.75" thickBot="1"/>
    <row r="133" spans="2:9" ht="15.75" thickBot="1">
      <c r="B133" s="409" t="s">
        <v>1750</v>
      </c>
      <c r="C133" s="410"/>
      <c r="D133" s="410"/>
      <c r="E133" s="410"/>
      <c r="F133" s="410"/>
      <c r="G133" s="410"/>
      <c r="H133" s="410"/>
      <c r="I133" s="411"/>
    </row>
    <row r="134" spans="2:9" ht="41.25" customHeight="1" thickBot="1">
      <c r="B134" s="369" t="s">
        <v>1751</v>
      </c>
      <c r="C134" s="370"/>
      <c r="D134" s="370"/>
      <c r="E134" s="370"/>
      <c r="F134" s="370"/>
      <c r="G134" s="370"/>
      <c r="H134" s="370"/>
      <c r="I134" s="370"/>
    </row>
    <row r="135" spans="2:9" ht="16.5" thickBot="1">
      <c r="B135" s="415" t="s">
        <v>1712</v>
      </c>
      <c r="C135" s="415" t="s">
        <v>1713</v>
      </c>
      <c r="D135" s="415" t="s">
        <v>1714</v>
      </c>
      <c r="E135" s="415" t="s">
        <v>1715</v>
      </c>
      <c r="F135" s="415" t="s">
        <v>1716</v>
      </c>
      <c r="G135" s="419" t="s">
        <v>767</v>
      </c>
      <c r="H135" s="420"/>
      <c r="I135" s="420"/>
    </row>
    <row r="136" spans="2:9" ht="48" thickBot="1">
      <c r="B136" s="416"/>
      <c r="C136" s="416"/>
      <c r="D136" s="416"/>
      <c r="E136" s="416"/>
      <c r="F136" s="416"/>
      <c r="G136" s="165" t="s">
        <v>1717</v>
      </c>
      <c r="H136" s="165" t="s">
        <v>1718</v>
      </c>
      <c r="I136" s="165" t="s">
        <v>1719</v>
      </c>
    </row>
    <row r="137" spans="2:9" ht="15.75" thickBot="1">
      <c r="B137" s="147" t="s">
        <v>1752</v>
      </c>
      <c r="C137" s="148">
        <v>0.3</v>
      </c>
      <c r="D137" s="166">
        <f>C137*$F$131</f>
        <v>4.2448979591836729</v>
      </c>
      <c r="E137" s="96">
        <v>6.5</v>
      </c>
      <c r="F137" s="78">
        <f>D137*E137</f>
        <v>27.591836734693874</v>
      </c>
      <c r="G137" s="78">
        <v>0.25</v>
      </c>
      <c r="H137" s="96">
        <v>0.8</v>
      </c>
      <c r="I137" s="167">
        <v>0.6</v>
      </c>
    </row>
    <row r="138" spans="2:9" ht="15.75" thickBot="1">
      <c r="B138" s="147" t="s">
        <v>1737</v>
      </c>
      <c r="C138" s="148">
        <v>0.5</v>
      </c>
      <c r="D138" s="166">
        <f t="shared" ref="D138:D140" si="6">C138*$F$131</f>
        <v>7.074829931972789</v>
      </c>
      <c r="E138" s="96">
        <v>6.5</v>
      </c>
      <c r="F138" s="78">
        <f>D138*E138</f>
        <v>45.986394557823125</v>
      </c>
      <c r="G138" s="78">
        <v>0.25</v>
      </c>
      <c r="H138" s="96">
        <v>0.8</v>
      </c>
      <c r="I138" s="167">
        <v>0.6</v>
      </c>
    </row>
    <row r="139" spans="2:9" ht="15.75" thickBot="1">
      <c r="B139" s="147" t="s">
        <v>1107</v>
      </c>
      <c r="C139" s="148">
        <v>0.1</v>
      </c>
      <c r="D139" s="166">
        <f t="shared" si="6"/>
        <v>1.4149659863945578</v>
      </c>
      <c r="E139" s="96">
        <v>6.5</v>
      </c>
      <c r="F139" s="78">
        <f>D139*E139</f>
        <v>9.1972789115646254</v>
      </c>
      <c r="G139" s="78">
        <v>0.25</v>
      </c>
      <c r="H139" s="96">
        <v>0.8</v>
      </c>
      <c r="I139" s="167">
        <v>0.6</v>
      </c>
    </row>
    <row r="140" spans="2:9" ht="15.75" thickBot="1">
      <c r="B140" s="147" t="s">
        <v>1721</v>
      </c>
      <c r="C140" s="148">
        <v>0.1</v>
      </c>
      <c r="D140" s="166">
        <f t="shared" si="6"/>
        <v>1.4149659863945578</v>
      </c>
      <c r="E140" s="96">
        <v>6.5</v>
      </c>
      <c r="F140" s="78">
        <f>D140*E140</f>
        <v>9.1972789115646254</v>
      </c>
      <c r="G140" s="78">
        <v>0.25</v>
      </c>
      <c r="H140" s="96">
        <v>0.8</v>
      </c>
      <c r="I140" s="167">
        <v>0.6</v>
      </c>
    </row>
    <row r="142" spans="2:9" ht="15.75" thickBot="1"/>
    <row r="143" spans="2:9" ht="15.75" thickBot="1">
      <c r="B143" s="412" t="s">
        <v>1753</v>
      </c>
      <c r="C143" s="413"/>
      <c r="D143" s="414"/>
    </row>
    <row r="144" spans="2:9" ht="15" customHeight="1">
      <c r="B144" s="427" t="s">
        <v>1754</v>
      </c>
      <c r="C144" s="428"/>
      <c r="D144" s="429"/>
    </row>
    <row r="145" spans="2:9" ht="15" customHeight="1" thickBot="1">
      <c r="B145" s="430"/>
      <c r="C145" s="431"/>
      <c r="D145" s="432"/>
    </row>
    <row r="147" spans="2:9" ht="15.75" thickBot="1"/>
    <row r="148" spans="2:9" ht="15.75" customHeight="1" thickBot="1">
      <c r="B148" s="409" t="s">
        <v>1755</v>
      </c>
      <c r="C148" s="410"/>
      <c r="D148" s="410"/>
      <c r="E148" s="411"/>
      <c r="F148" s="163" t="s">
        <v>776</v>
      </c>
      <c r="H148" s="371" t="s">
        <v>1723</v>
      </c>
      <c r="I148" s="372"/>
    </row>
    <row r="149" spans="2:9" ht="16.5" thickBot="1">
      <c r="B149" s="421" t="s">
        <v>1756</v>
      </c>
      <c r="C149" s="422"/>
      <c r="D149" s="422"/>
      <c r="E149" s="423"/>
      <c r="F149" s="164">
        <v>1.0748299319727892</v>
      </c>
      <c r="H149" s="157" t="s">
        <v>1725</v>
      </c>
      <c r="I149" s="96">
        <v>1040</v>
      </c>
    </row>
    <row r="150" spans="2:9" ht="15.75" thickBot="1">
      <c r="B150" s="424" t="s">
        <v>1726</v>
      </c>
      <c r="C150" s="425"/>
      <c r="D150" s="425"/>
      <c r="E150" s="426"/>
      <c r="F150" s="96">
        <f>F149*I149</f>
        <v>1117.8231292517007</v>
      </c>
    </row>
    <row r="151" spans="2:9" ht="15.75" thickBot="1"/>
    <row r="152" spans="2:9" ht="15.75" thickBot="1">
      <c r="B152" s="409" t="s">
        <v>1757</v>
      </c>
      <c r="C152" s="410"/>
      <c r="D152" s="410"/>
      <c r="E152" s="410"/>
      <c r="F152" s="410"/>
      <c r="G152" s="410"/>
      <c r="H152" s="410"/>
      <c r="I152" s="411"/>
    </row>
    <row r="153" spans="2:9" ht="36.75" customHeight="1" thickBot="1">
      <c r="B153" s="369" t="s">
        <v>1758</v>
      </c>
      <c r="C153" s="370"/>
      <c r="D153" s="370"/>
      <c r="E153" s="370"/>
      <c r="F153" s="370"/>
      <c r="G153" s="370"/>
      <c r="H153" s="370"/>
      <c r="I153" s="370"/>
    </row>
    <row r="154" spans="2:9" ht="16.5" thickBot="1">
      <c r="B154" s="415" t="s">
        <v>1712</v>
      </c>
      <c r="C154" s="415" t="s">
        <v>1713</v>
      </c>
      <c r="D154" s="415" t="s">
        <v>1714</v>
      </c>
      <c r="E154" s="415" t="s">
        <v>1715</v>
      </c>
      <c r="F154" s="415" t="s">
        <v>1716</v>
      </c>
      <c r="G154" s="419" t="s">
        <v>767</v>
      </c>
      <c r="H154" s="420"/>
      <c r="I154" s="420"/>
    </row>
    <row r="155" spans="2:9" ht="48" thickBot="1">
      <c r="B155" s="416"/>
      <c r="C155" s="416"/>
      <c r="D155" s="416"/>
      <c r="E155" s="416"/>
      <c r="F155" s="416"/>
      <c r="G155" s="165" t="s">
        <v>1717</v>
      </c>
      <c r="H155" s="165" t="s">
        <v>1718</v>
      </c>
      <c r="I155" s="165" t="s">
        <v>1719</v>
      </c>
    </row>
    <row r="156" spans="2:9" ht="15.75" thickBot="1">
      <c r="B156" s="147" t="s">
        <v>1727</v>
      </c>
      <c r="C156" s="148">
        <v>0.9</v>
      </c>
      <c r="D156" s="166">
        <f>$F$150*C156</f>
        <v>1006.0408163265307</v>
      </c>
      <c r="E156" s="164">
        <f>(0.59*0.16+0.59*0.23+0.102*0.61)</f>
        <v>0.29231999999999997</v>
      </c>
      <c r="F156" s="78">
        <f>D156*E156</f>
        <v>294.0858514285714</v>
      </c>
      <c r="G156" s="78">
        <f>(0.03*0.16+0.03*0.23+0.02*0.61)</f>
        <v>2.3899999999999998E-2</v>
      </c>
      <c r="H156" s="96">
        <v>0.8</v>
      </c>
      <c r="I156" s="167">
        <v>0.6</v>
      </c>
    </row>
    <row r="157" spans="2:9" ht="15.75" thickBot="1">
      <c r="B157" s="147" t="s">
        <v>1759</v>
      </c>
      <c r="C157" s="148">
        <v>0.1</v>
      </c>
      <c r="D157" s="166">
        <f>$F$150*C157</f>
        <v>111.78231292517007</v>
      </c>
      <c r="E157" s="164">
        <f>(0.59*0.16+0.59*0.23+0.102*0.61)</f>
        <v>0.29231999999999997</v>
      </c>
      <c r="F157" s="78">
        <f>D157*E157</f>
        <v>32.676205714285715</v>
      </c>
      <c r="G157" s="78">
        <f>(0.03*0.16+0.03*0.23+0.02*0.61)</f>
        <v>2.3899999999999998E-2</v>
      </c>
      <c r="H157" s="96">
        <v>0.8</v>
      </c>
      <c r="I157" s="167">
        <v>0.6</v>
      </c>
    </row>
    <row r="159" spans="2:9" ht="15.75" thickBot="1"/>
    <row r="160" spans="2:9" ht="15.75" thickBot="1">
      <c r="B160" s="412" t="s">
        <v>1760</v>
      </c>
      <c r="C160" s="413"/>
      <c r="D160" s="414"/>
    </row>
    <row r="161" spans="2:9">
      <c r="B161" s="427" t="s">
        <v>1761</v>
      </c>
      <c r="C161" s="428"/>
      <c r="D161" s="429"/>
    </row>
    <row r="162" spans="2:9" ht="15.75" thickBot="1">
      <c r="B162" s="430"/>
      <c r="C162" s="431"/>
      <c r="D162" s="432"/>
    </row>
    <row r="165" spans="2:9" ht="15.75">
      <c r="B165" s="368" t="s">
        <v>1437</v>
      </c>
      <c r="C165" s="368"/>
      <c r="D165" s="368"/>
      <c r="E165" s="368"/>
    </row>
    <row r="166" spans="2:9" ht="15.75" thickBot="1"/>
    <row r="167" spans="2:9" ht="15.75" customHeight="1" thickBot="1">
      <c r="B167" s="409" t="s">
        <v>1748</v>
      </c>
      <c r="C167" s="410"/>
      <c r="D167" s="410"/>
      <c r="E167" s="411"/>
      <c r="F167" s="163" t="s">
        <v>776</v>
      </c>
      <c r="H167" s="371" t="s">
        <v>1732</v>
      </c>
      <c r="I167" s="372"/>
    </row>
    <row r="168" spans="2:9" ht="16.5" thickBot="1">
      <c r="B168" s="421" t="s">
        <v>1762</v>
      </c>
      <c r="C168" s="422"/>
      <c r="D168" s="422"/>
      <c r="E168" s="423"/>
      <c r="F168" s="164">
        <v>3.5714285714285712E-2</v>
      </c>
      <c r="H168" s="157" t="s">
        <v>1734</v>
      </c>
      <c r="I168" s="96">
        <v>37</v>
      </c>
    </row>
    <row r="169" spans="2:9" ht="15.75" thickBot="1">
      <c r="B169" s="424" t="s">
        <v>1726</v>
      </c>
      <c r="C169" s="425"/>
      <c r="D169" s="425"/>
      <c r="E169" s="426"/>
      <c r="F169" s="96">
        <f>F168*I168</f>
        <v>1.3214285714285714</v>
      </c>
    </row>
    <row r="170" spans="2:9" ht="15.75" thickBot="1"/>
    <row r="171" spans="2:9" ht="15.75" thickBot="1">
      <c r="B171" s="409" t="s">
        <v>1750</v>
      </c>
      <c r="C171" s="410"/>
      <c r="D171" s="410"/>
      <c r="E171" s="410"/>
      <c r="F171" s="410"/>
      <c r="G171" s="410"/>
      <c r="H171" s="410"/>
      <c r="I171" s="411"/>
    </row>
    <row r="172" spans="2:9" ht="33.75" customHeight="1" thickBot="1">
      <c r="B172" s="369" t="s">
        <v>1751</v>
      </c>
      <c r="C172" s="370"/>
      <c r="D172" s="370"/>
      <c r="E172" s="370"/>
      <c r="F172" s="370"/>
      <c r="G172" s="370"/>
      <c r="H172" s="370"/>
      <c r="I172" s="370"/>
    </row>
    <row r="173" spans="2:9" ht="16.5" thickBot="1">
      <c r="B173" s="415" t="s">
        <v>1712</v>
      </c>
      <c r="C173" s="415" t="s">
        <v>1713</v>
      </c>
      <c r="D173" s="415" t="s">
        <v>1714</v>
      </c>
      <c r="E173" s="415" t="s">
        <v>1715</v>
      </c>
      <c r="F173" s="415" t="s">
        <v>1716</v>
      </c>
      <c r="G173" s="419" t="s">
        <v>767</v>
      </c>
      <c r="H173" s="420"/>
      <c r="I173" s="420"/>
    </row>
    <row r="174" spans="2:9" ht="48" thickBot="1">
      <c r="B174" s="416"/>
      <c r="C174" s="416"/>
      <c r="D174" s="416"/>
      <c r="E174" s="416"/>
      <c r="F174" s="416"/>
      <c r="G174" s="165" t="s">
        <v>1717</v>
      </c>
      <c r="H174" s="165" t="s">
        <v>1718</v>
      </c>
      <c r="I174" s="165" t="s">
        <v>1719</v>
      </c>
    </row>
    <row r="175" spans="2:9" ht="15.75" thickBot="1">
      <c r="B175" s="147" t="s">
        <v>1721</v>
      </c>
      <c r="C175" s="148">
        <v>0.5</v>
      </c>
      <c r="D175" s="166">
        <f>C175*$F$169</f>
        <v>0.6607142857142857</v>
      </c>
      <c r="E175" s="96">
        <v>6.5</v>
      </c>
      <c r="F175" s="78">
        <f>D175*E175</f>
        <v>4.2946428571428568</v>
      </c>
      <c r="G175" s="78">
        <v>0.25</v>
      </c>
      <c r="H175" s="96">
        <v>0.8</v>
      </c>
      <c r="I175" s="167">
        <v>0.6</v>
      </c>
    </row>
    <row r="176" spans="2:9" ht="15.75" thickBot="1">
      <c r="B176" s="147" t="s">
        <v>1116</v>
      </c>
      <c r="C176" s="148">
        <v>0.5</v>
      </c>
      <c r="D176" s="166">
        <f>C176*$F$169</f>
        <v>0.6607142857142857</v>
      </c>
      <c r="E176" s="96">
        <v>6.5</v>
      </c>
      <c r="F176" s="78">
        <f>D176*E176</f>
        <v>4.2946428571428568</v>
      </c>
      <c r="G176" s="78">
        <v>0.25</v>
      </c>
      <c r="H176" s="96">
        <v>0.8</v>
      </c>
      <c r="I176" s="167">
        <v>0.6</v>
      </c>
    </row>
    <row r="178" spans="2:9" ht="15.75" thickBot="1"/>
    <row r="179" spans="2:9" ht="15.75" customHeight="1" thickBot="1">
      <c r="B179" s="412" t="s">
        <v>1763</v>
      </c>
      <c r="C179" s="413"/>
      <c r="D179" s="414"/>
    </row>
    <row r="180" spans="2:9" ht="15" customHeight="1">
      <c r="B180" s="415" t="s">
        <v>1712</v>
      </c>
      <c r="C180" s="415" t="s">
        <v>1731</v>
      </c>
      <c r="D180" s="417"/>
    </row>
    <row r="181" spans="2:9" ht="15" customHeight="1" thickBot="1">
      <c r="B181" s="416"/>
      <c r="C181" s="416"/>
      <c r="D181" s="418"/>
    </row>
    <row r="182" spans="2:9" ht="15" customHeight="1" thickBot="1">
      <c r="B182" s="147" t="s">
        <v>1721</v>
      </c>
      <c r="C182" s="97">
        <v>41.955357142857139</v>
      </c>
      <c r="D182" s="98"/>
    </row>
    <row r="183" spans="2:9" ht="15.75" thickBot="1">
      <c r="B183" s="147" t="s">
        <v>1116</v>
      </c>
      <c r="C183" s="97">
        <v>41.955357142857139</v>
      </c>
      <c r="D183" s="98"/>
    </row>
    <row r="185" spans="2:9" ht="15.75" thickBot="1"/>
    <row r="186" spans="2:9" ht="15.75" customHeight="1" thickBot="1">
      <c r="B186" s="409" t="s">
        <v>1755</v>
      </c>
      <c r="C186" s="410"/>
      <c r="D186" s="410"/>
      <c r="E186" s="411"/>
      <c r="F186" s="163" t="s">
        <v>776</v>
      </c>
      <c r="H186" s="371" t="s">
        <v>1732</v>
      </c>
      <c r="I186" s="372"/>
    </row>
    <row r="187" spans="2:9" ht="16.5" thickBot="1">
      <c r="B187" s="421" t="s">
        <v>1764</v>
      </c>
      <c r="C187" s="422"/>
      <c r="D187" s="422"/>
      <c r="E187" s="423"/>
      <c r="F187" s="164">
        <v>2.0714285714285716</v>
      </c>
      <c r="H187" s="157" t="s">
        <v>1734</v>
      </c>
      <c r="I187" s="96">
        <v>37</v>
      </c>
    </row>
    <row r="188" spans="2:9" ht="15.75" thickBot="1">
      <c r="B188" s="424" t="s">
        <v>1735</v>
      </c>
      <c r="C188" s="425"/>
      <c r="D188" s="425"/>
      <c r="E188" s="426"/>
      <c r="F188" s="96">
        <f>F187*I187</f>
        <v>76.642857142857153</v>
      </c>
    </row>
    <row r="189" spans="2:9" ht="15.75" thickBot="1"/>
    <row r="190" spans="2:9" ht="15.75" thickBot="1">
      <c r="B190" s="409" t="s">
        <v>1757</v>
      </c>
      <c r="C190" s="410"/>
      <c r="D190" s="410"/>
      <c r="E190" s="410"/>
      <c r="F190" s="410"/>
      <c r="G190" s="410"/>
      <c r="H190" s="410"/>
      <c r="I190" s="411"/>
    </row>
    <row r="191" spans="2:9" ht="44.25" customHeight="1" thickBot="1">
      <c r="B191" s="369" t="s">
        <v>1765</v>
      </c>
      <c r="C191" s="370"/>
      <c r="D191" s="370"/>
      <c r="E191" s="370"/>
      <c r="F191" s="370"/>
      <c r="G191" s="370"/>
      <c r="H191" s="370"/>
      <c r="I191" s="370"/>
    </row>
    <row r="192" spans="2:9" ht="16.5" thickBot="1">
      <c r="B192" s="415" t="s">
        <v>1712</v>
      </c>
      <c r="C192" s="415" t="s">
        <v>1713</v>
      </c>
      <c r="D192" s="415" t="s">
        <v>1714</v>
      </c>
      <c r="E192" s="415" t="s">
        <v>1715</v>
      </c>
      <c r="F192" s="415" t="s">
        <v>1716</v>
      </c>
      <c r="G192" s="419" t="s">
        <v>767</v>
      </c>
      <c r="H192" s="420"/>
      <c r="I192" s="420"/>
    </row>
    <row r="193" spans="2:9" ht="48" thickBot="1">
      <c r="B193" s="416"/>
      <c r="C193" s="416"/>
      <c r="D193" s="416"/>
      <c r="E193" s="416"/>
      <c r="F193" s="416"/>
      <c r="G193" s="165" t="s">
        <v>1717</v>
      </c>
      <c r="H193" s="165" t="s">
        <v>1718</v>
      </c>
      <c r="I193" s="165" t="s">
        <v>1719</v>
      </c>
    </row>
    <row r="194" spans="2:9" ht="15.75" thickBot="1">
      <c r="B194" s="147" t="s">
        <v>1727</v>
      </c>
      <c r="C194" s="148">
        <v>0.5</v>
      </c>
      <c r="D194" s="166">
        <f>$F$188*C194</f>
        <v>38.321428571428577</v>
      </c>
      <c r="E194" s="164">
        <f>(0.59*0.22+0.59*0.16+0.102*0.62)</f>
        <v>0.28744000000000003</v>
      </c>
      <c r="F194" s="78">
        <f>D194*E194</f>
        <v>11.015111428571432</v>
      </c>
      <c r="G194" s="78">
        <f>(0.03*0.16+0.03*0.22+0.02*0.62)</f>
        <v>2.3800000000000002E-2</v>
      </c>
      <c r="H194" s="96">
        <v>0.8</v>
      </c>
      <c r="I194" s="167">
        <v>0.6</v>
      </c>
    </row>
    <row r="195" spans="2:9" ht="15.75" thickBot="1">
      <c r="B195" s="147" t="s">
        <v>757</v>
      </c>
      <c r="C195" s="148">
        <v>0.04</v>
      </c>
      <c r="D195" s="166">
        <f t="shared" ref="D195:D201" si="7">$F$188*C195</f>
        <v>3.0657142857142863</v>
      </c>
      <c r="E195" s="164">
        <f t="shared" ref="E195:E201" si="8">(0.59*0.22+0.59*0.16+0.102*0.62)</f>
        <v>0.28744000000000003</v>
      </c>
      <c r="F195" s="78">
        <f>D195*E195</f>
        <v>0.88120891428571457</v>
      </c>
      <c r="G195" s="78">
        <f t="shared" ref="G195:G201" si="9">(0.03*0.16+0.03*0.22+0.02*0.62)</f>
        <v>2.3800000000000002E-2</v>
      </c>
      <c r="H195" s="96">
        <v>0.8</v>
      </c>
      <c r="I195" s="167">
        <v>0.6</v>
      </c>
    </row>
    <row r="196" spans="2:9" ht="15.75" thickBot="1">
      <c r="B196" s="147" t="s">
        <v>1766</v>
      </c>
      <c r="C196" s="148">
        <v>0.04</v>
      </c>
      <c r="D196" s="166">
        <f t="shared" si="7"/>
        <v>3.0657142857142863</v>
      </c>
      <c r="E196" s="164">
        <f t="shared" si="8"/>
        <v>0.28744000000000003</v>
      </c>
      <c r="F196" s="78">
        <f t="shared" ref="F196:F201" si="10">D196*E196</f>
        <v>0.88120891428571457</v>
      </c>
      <c r="G196" s="78">
        <f t="shared" si="9"/>
        <v>2.3800000000000002E-2</v>
      </c>
      <c r="H196" s="96">
        <v>0.8</v>
      </c>
      <c r="I196" s="167">
        <v>0.6</v>
      </c>
    </row>
    <row r="197" spans="2:9" ht="15.75" thickBot="1">
      <c r="B197" s="147" t="s">
        <v>1112</v>
      </c>
      <c r="C197" s="148">
        <v>0.04</v>
      </c>
      <c r="D197" s="166">
        <f t="shared" si="7"/>
        <v>3.0657142857142863</v>
      </c>
      <c r="E197" s="164">
        <f t="shared" si="8"/>
        <v>0.28744000000000003</v>
      </c>
      <c r="F197" s="78">
        <f t="shared" si="10"/>
        <v>0.88120891428571457</v>
      </c>
      <c r="G197" s="78">
        <f t="shared" si="9"/>
        <v>2.3800000000000002E-2</v>
      </c>
      <c r="H197" s="96">
        <v>0.8</v>
      </c>
      <c r="I197" s="167">
        <v>0.6</v>
      </c>
    </row>
    <row r="198" spans="2:9" ht="15.75" thickBot="1">
      <c r="B198" s="147" t="s">
        <v>1737</v>
      </c>
      <c r="C198" s="148">
        <v>0.05</v>
      </c>
      <c r="D198" s="166">
        <f t="shared" si="7"/>
        <v>3.8321428571428577</v>
      </c>
      <c r="E198" s="164">
        <f t="shared" si="8"/>
        <v>0.28744000000000003</v>
      </c>
      <c r="F198" s="78">
        <f t="shared" si="10"/>
        <v>1.1015111428571431</v>
      </c>
      <c r="G198" s="78">
        <f t="shared" si="9"/>
        <v>2.3800000000000002E-2</v>
      </c>
      <c r="H198" s="96">
        <v>0.8</v>
      </c>
      <c r="I198" s="167">
        <v>0.6</v>
      </c>
    </row>
    <row r="199" spans="2:9" ht="15.75" thickBot="1">
      <c r="B199" s="147" t="s">
        <v>1767</v>
      </c>
      <c r="C199" s="148">
        <v>0.05</v>
      </c>
      <c r="D199" s="166">
        <f t="shared" si="7"/>
        <v>3.8321428571428577</v>
      </c>
      <c r="E199" s="164">
        <f t="shared" si="8"/>
        <v>0.28744000000000003</v>
      </c>
      <c r="F199" s="78">
        <f t="shared" si="10"/>
        <v>1.1015111428571431</v>
      </c>
      <c r="G199" s="78">
        <f t="shared" si="9"/>
        <v>2.3800000000000002E-2</v>
      </c>
      <c r="H199" s="96">
        <v>0.8</v>
      </c>
      <c r="I199" s="167">
        <v>0.6</v>
      </c>
    </row>
    <row r="200" spans="2:9" ht="15.75" thickBot="1">
      <c r="B200" s="147" t="s">
        <v>746</v>
      </c>
      <c r="C200" s="148">
        <v>0.14000000000000001</v>
      </c>
      <c r="D200" s="166">
        <f t="shared" si="7"/>
        <v>10.730000000000002</v>
      </c>
      <c r="E200" s="164">
        <f t="shared" si="8"/>
        <v>0.28744000000000003</v>
      </c>
      <c r="F200" s="78">
        <f t="shared" si="10"/>
        <v>3.0842312000000009</v>
      </c>
      <c r="G200" s="78">
        <f t="shared" si="9"/>
        <v>2.3800000000000002E-2</v>
      </c>
      <c r="H200" s="96">
        <v>0.8</v>
      </c>
      <c r="I200" s="167">
        <v>0.6</v>
      </c>
    </row>
    <row r="201" spans="2:9" ht="15.75" thickBot="1">
      <c r="B201" s="147" t="s">
        <v>1111</v>
      </c>
      <c r="C201" s="148">
        <v>0.14000000000000001</v>
      </c>
      <c r="D201" s="166">
        <f t="shared" si="7"/>
        <v>10.730000000000002</v>
      </c>
      <c r="E201" s="164">
        <f t="shared" si="8"/>
        <v>0.28744000000000003</v>
      </c>
      <c r="F201" s="78">
        <f t="shared" si="10"/>
        <v>3.0842312000000009</v>
      </c>
      <c r="G201" s="78">
        <f t="shared" si="9"/>
        <v>2.3800000000000002E-2</v>
      </c>
      <c r="H201" s="96">
        <v>0.8</v>
      </c>
      <c r="I201" s="167">
        <v>0.6</v>
      </c>
    </row>
    <row r="203" spans="2:9" ht="15.75" thickBot="1"/>
    <row r="204" spans="2:9" ht="15.75" thickBot="1">
      <c r="B204" s="412" t="s">
        <v>1763</v>
      </c>
      <c r="C204" s="413"/>
      <c r="D204" s="414"/>
    </row>
    <row r="205" spans="2:9">
      <c r="B205" s="415" t="s">
        <v>1712</v>
      </c>
      <c r="C205" s="415" t="s">
        <v>1731</v>
      </c>
      <c r="D205" s="417"/>
    </row>
    <row r="206" spans="2:9" ht="15.75" thickBot="1">
      <c r="B206" s="416"/>
      <c r="C206" s="416"/>
      <c r="D206" s="418"/>
    </row>
    <row r="207" spans="2:9" ht="15.75" thickBot="1">
      <c r="B207" s="147" t="s">
        <v>1727</v>
      </c>
      <c r="C207" s="97">
        <v>67.789285714285711</v>
      </c>
      <c r="D207" s="98"/>
    </row>
    <row r="210" spans="2:9" ht="15.75">
      <c r="B210" s="368" t="s">
        <v>1444</v>
      </c>
      <c r="C210" s="368"/>
      <c r="D210" s="368"/>
      <c r="E210" s="368"/>
    </row>
    <row r="211" spans="2:9" ht="15.75" thickBot="1"/>
    <row r="212" spans="2:9" ht="15.75" customHeight="1" thickBot="1">
      <c r="B212" s="409" t="s">
        <v>1755</v>
      </c>
      <c r="C212" s="410"/>
      <c r="D212" s="410"/>
      <c r="E212" s="411"/>
      <c r="F212" s="163" t="s">
        <v>776</v>
      </c>
      <c r="H212" s="371" t="s">
        <v>1446</v>
      </c>
      <c r="I212" s="372"/>
    </row>
    <row r="213" spans="2:9" ht="16.5" thickBot="1">
      <c r="B213" s="421" t="s">
        <v>1768</v>
      </c>
      <c r="C213" s="422"/>
      <c r="D213" s="422"/>
      <c r="E213" s="423"/>
      <c r="F213" s="164">
        <v>9.5238095238095233E-2</v>
      </c>
      <c r="H213" s="157" t="s">
        <v>1422</v>
      </c>
      <c r="I213" s="96">
        <v>30</v>
      </c>
    </row>
    <row r="214" spans="2:9" ht="15.75" thickBot="1">
      <c r="B214" s="424" t="s">
        <v>1735</v>
      </c>
      <c r="C214" s="425"/>
      <c r="D214" s="425"/>
      <c r="E214" s="426"/>
      <c r="F214" s="166">
        <f>F213*I213</f>
        <v>2.8571428571428568</v>
      </c>
    </row>
    <row r="215" spans="2:9" ht="15.75" thickBot="1"/>
    <row r="216" spans="2:9" ht="15.75" thickBot="1">
      <c r="B216" s="409" t="s">
        <v>1757</v>
      </c>
      <c r="C216" s="410"/>
      <c r="D216" s="410"/>
      <c r="E216" s="410"/>
      <c r="F216" s="410"/>
      <c r="G216" s="410"/>
      <c r="H216" s="410"/>
      <c r="I216" s="411"/>
    </row>
    <row r="217" spans="2:9" ht="31.5" customHeight="1" thickBot="1">
      <c r="B217" s="369" t="s">
        <v>1769</v>
      </c>
      <c r="C217" s="370"/>
      <c r="D217" s="370"/>
      <c r="E217" s="370"/>
      <c r="F217" s="370"/>
      <c r="G217" s="370"/>
      <c r="H217" s="370"/>
      <c r="I217" s="370"/>
    </row>
    <row r="218" spans="2:9" ht="16.5" thickBot="1">
      <c r="B218" s="415" t="s">
        <v>1712</v>
      </c>
      <c r="C218" s="415" t="s">
        <v>1713</v>
      </c>
      <c r="D218" s="415" t="s">
        <v>1714</v>
      </c>
      <c r="E218" s="415" t="s">
        <v>1715</v>
      </c>
      <c r="F218" s="415" t="s">
        <v>1716</v>
      </c>
      <c r="G218" s="419" t="s">
        <v>767</v>
      </c>
      <c r="H218" s="420"/>
      <c r="I218" s="420"/>
    </row>
    <row r="219" spans="2:9" ht="48" thickBot="1">
      <c r="B219" s="416"/>
      <c r="C219" s="416"/>
      <c r="D219" s="416"/>
      <c r="E219" s="416"/>
      <c r="F219" s="416"/>
      <c r="G219" s="165" t="s">
        <v>1717</v>
      </c>
      <c r="H219" s="165" t="s">
        <v>1718</v>
      </c>
      <c r="I219" s="165" t="s">
        <v>1719</v>
      </c>
    </row>
    <row r="220" spans="2:9" ht="15.75" thickBot="1">
      <c r="B220" s="147" t="s">
        <v>1727</v>
      </c>
      <c r="C220" s="148">
        <v>0.7</v>
      </c>
      <c r="D220" s="166">
        <f>$F$214*C220</f>
        <v>1.9999999999999996</v>
      </c>
      <c r="E220" s="164">
        <v>0.10199999999999999</v>
      </c>
      <c r="F220" s="78">
        <f>D220*E220</f>
        <v>0.20399999999999993</v>
      </c>
      <c r="G220" s="78">
        <v>0.02</v>
      </c>
      <c r="H220" s="96">
        <v>0.8</v>
      </c>
      <c r="I220" s="167">
        <v>0.6</v>
      </c>
    </row>
    <row r="221" spans="2:9" ht="15.75" thickBot="1">
      <c r="B221" s="147" t="s">
        <v>1770</v>
      </c>
      <c r="C221" s="148">
        <v>0.3</v>
      </c>
      <c r="D221" s="166">
        <f>$F$214*C221</f>
        <v>0.85714285714285698</v>
      </c>
      <c r="E221" s="164">
        <v>0.10199999999999999</v>
      </c>
      <c r="F221" s="78">
        <f>D221*E221</f>
        <v>8.7428571428571411E-2</v>
      </c>
      <c r="G221" s="78">
        <v>0.02</v>
      </c>
      <c r="H221" s="96">
        <v>0.8</v>
      </c>
      <c r="I221" s="167">
        <v>0.6</v>
      </c>
    </row>
    <row r="225" spans="2:12" ht="15.75">
      <c r="B225" s="381" t="s">
        <v>1771</v>
      </c>
      <c r="C225" s="381"/>
      <c r="D225" s="381"/>
      <c r="E225" s="381"/>
      <c r="F225" s="381"/>
      <c r="G225" s="381"/>
      <c r="H225" s="381"/>
      <c r="I225" s="381"/>
      <c r="J225" s="381"/>
      <c r="K225" s="381"/>
      <c r="L225" s="381"/>
    </row>
    <row r="227" spans="2:12" ht="15.75">
      <c r="B227" s="368" t="s">
        <v>1413</v>
      </c>
      <c r="C227" s="368"/>
      <c r="D227" s="368"/>
      <c r="E227" s="368"/>
    </row>
    <row r="228" spans="2:12" ht="15.75" thickBot="1"/>
    <row r="229" spans="2:12" ht="16.5" thickBot="1">
      <c r="B229" s="382" t="s">
        <v>1772</v>
      </c>
      <c r="C229" s="384"/>
    </row>
    <row r="230" spans="2:12" ht="39" thickBot="1">
      <c r="B230" s="158" t="s">
        <v>1773</v>
      </c>
      <c r="C230" s="78">
        <v>18238.888262910794</v>
      </c>
    </row>
    <row r="233" spans="2:12" ht="15.75">
      <c r="B233" s="368" t="s">
        <v>1478</v>
      </c>
      <c r="C233" s="368"/>
      <c r="D233" s="368"/>
      <c r="E233" s="368"/>
    </row>
    <row r="234" spans="2:12" ht="15.75" thickBot="1"/>
    <row r="235" spans="2:12" ht="16.5" thickBot="1">
      <c r="B235" s="382" t="s">
        <v>1774</v>
      </c>
      <c r="C235" s="384"/>
    </row>
    <row r="236" spans="2:12" ht="39" thickBot="1">
      <c r="B236" s="158" t="s">
        <v>1773</v>
      </c>
      <c r="C236" s="78">
        <v>9625.5891156462567</v>
      </c>
    </row>
    <row r="239" spans="2:12" ht="15.75">
      <c r="B239" s="368" t="s">
        <v>1437</v>
      </c>
      <c r="C239" s="368"/>
      <c r="D239" s="368"/>
      <c r="E239" s="368"/>
    </row>
    <row r="240" spans="2:12" ht="15.75" thickBot="1"/>
    <row r="241" spans="2:12" ht="16.5" thickBot="1">
      <c r="B241" s="382" t="s">
        <v>1775</v>
      </c>
      <c r="C241" s="384"/>
    </row>
    <row r="242" spans="2:12" ht="39" thickBot="1">
      <c r="B242" s="158" t="s">
        <v>1773</v>
      </c>
      <c r="C242" s="78">
        <v>133833.54071421313</v>
      </c>
    </row>
    <row r="243" spans="2:12" ht="15.75" thickBot="1"/>
    <row r="244" spans="2:12" ht="16.5" thickBot="1">
      <c r="B244" s="382" t="s">
        <v>1776</v>
      </c>
      <c r="C244" s="384"/>
    </row>
    <row r="245" spans="2:12" ht="37.5" customHeight="1" thickBot="1">
      <c r="B245" s="158" t="s">
        <v>1777</v>
      </c>
      <c r="C245" s="78">
        <v>18183.565179033121</v>
      </c>
    </row>
    <row r="246" spans="2:12" ht="15.75" thickBot="1"/>
    <row r="247" spans="2:12" ht="16.5" thickBot="1">
      <c r="B247" s="382" t="s">
        <v>1778</v>
      </c>
      <c r="C247" s="384"/>
    </row>
    <row r="248" spans="2:12" ht="36" customHeight="1" thickBot="1">
      <c r="B248" s="158" t="s">
        <v>1779</v>
      </c>
      <c r="C248" s="78">
        <v>7029.72</v>
      </c>
    </row>
    <row r="251" spans="2:12" ht="15.75">
      <c r="B251" s="381" t="s">
        <v>1780</v>
      </c>
      <c r="C251" s="381"/>
      <c r="D251" s="381"/>
      <c r="E251" s="381"/>
      <c r="F251" s="381"/>
      <c r="G251" s="381"/>
      <c r="H251" s="381"/>
      <c r="I251" s="381"/>
      <c r="J251" s="381"/>
      <c r="K251" s="381"/>
      <c r="L251" s="381"/>
    </row>
    <row r="253" spans="2:12" ht="15.75">
      <c r="B253" s="368" t="s">
        <v>1781</v>
      </c>
      <c r="C253" s="368"/>
      <c r="D253" s="368"/>
      <c r="E253" s="368"/>
    </row>
    <row r="254" spans="2:12" ht="15.75" thickBot="1"/>
    <row r="255" spans="2:12" ht="16.5" thickBot="1">
      <c r="B255" s="382" t="s">
        <v>1782</v>
      </c>
      <c r="C255" s="384"/>
    </row>
    <row r="256" spans="2:12" ht="146.25" customHeight="1" thickBot="1">
      <c r="B256" s="395" t="s">
        <v>1129</v>
      </c>
      <c r="C256" s="396"/>
    </row>
    <row r="257" spans="2:3" ht="15.75" thickBot="1">
      <c r="B257" s="158" t="s">
        <v>1783</v>
      </c>
      <c r="C257" s="78">
        <v>2188.6999999999998</v>
      </c>
    </row>
  </sheetData>
  <mergeCells count="160">
    <mergeCell ref="B180:B181"/>
    <mergeCell ref="C180:D181"/>
    <mergeCell ref="B192:B193"/>
    <mergeCell ref="C192:C193"/>
    <mergeCell ref="D192:D193"/>
    <mergeCell ref="G101:I101"/>
    <mergeCell ref="G173:I173"/>
    <mergeCell ref="B179:D179"/>
    <mergeCell ref="C154:C155"/>
    <mergeCell ref="F173:F174"/>
    <mergeCell ref="H167:I167"/>
    <mergeCell ref="B168:E168"/>
    <mergeCell ref="B169:E169"/>
    <mergeCell ref="B171:I171"/>
    <mergeCell ref="B172:I172"/>
    <mergeCell ref="E192:E193"/>
    <mergeCell ref="F192:F193"/>
    <mergeCell ref="G26:I26"/>
    <mergeCell ref="B18:E18"/>
    <mergeCell ref="B20:E20"/>
    <mergeCell ref="H20:I20"/>
    <mergeCell ref="B21:E21"/>
    <mergeCell ref="B22:E22"/>
    <mergeCell ref="B161:D162"/>
    <mergeCell ref="B1:C1"/>
    <mergeCell ref="B5:L5"/>
    <mergeCell ref="B16:L16"/>
    <mergeCell ref="B115:L115"/>
    <mergeCell ref="B119:I119"/>
    <mergeCell ref="B7:E7"/>
    <mergeCell ref="B9:C9"/>
    <mergeCell ref="H34:I34"/>
    <mergeCell ref="B24:I24"/>
    <mergeCell ref="B25:I25"/>
    <mergeCell ref="B26:B27"/>
    <mergeCell ref="C26:C27"/>
    <mergeCell ref="D26:D27"/>
    <mergeCell ref="E26:E27"/>
    <mergeCell ref="F26:F27"/>
    <mergeCell ref="B117:G117"/>
    <mergeCell ref="B11:E11"/>
    <mergeCell ref="B49:D49"/>
    <mergeCell ref="B50:B51"/>
    <mergeCell ref="C50:D51"/>
    <mergeCell ref="B233:E233"/>
    <mergeCell ref="B96:E96"/>
    <mergeCell ref="B97:E97"/>
    <mergeCell ref="B225:L225"/>
    <mergeCell ref="B120:I120"/>
    <mergeCell ref="B121:B122"/>
    <mergeCell ref="C121:C122"/>
    <mergeCell ref="D121:D122"/>
    <mergeCell ref="E121:E122"/>
    <mergeCell ref="F121:F122"/>
    <mergeCell ref="G121:I121"/>
    <mergeCell ref="B127:E127"/>
    <mergeCell ref="B129:E129"/>
    <mergeCell ref="B135:B136"/>
    <mergeCell ref="C135:C136"/>
    <mergeCell ref="D135:D136"/>
    <mergeCell ref="B210:E210"/>
    <mergeCell ref="B212:E212"/>
    <mergeCell ref="H212:I212"/>
    <mergeCell ref="B213:E213"/>
    <mergeCell ref="B214:E214"/>
    <mergeCell ref="B32:E32"/>
    <mergeCell ref="B34:E34"/>
    <mergeCell ref="B35:E35"/>
    <mergeCell ref="B36:E36"/>
    <mergeCell ref="B38:I38"/>
    <mergeCell ref="B39:I39"/>
    <mergeCell ref="B40:B41"/>
    <mergeCell ref="C40:C41"/>
    <mergeCell ref="D40:D41"/>
    <mergeCell ref="E40:E41"/>
    <mergeCell ref="F40:F41"/>
    <mergeCell ref="G40:I40"/>
    <mergeCell ref="B13:C13"/>
    <mergeCell ref="B239:E239"/>
    <mergeCell ref="B241:C241"/>
    <mergeCell ref="B244:C244"/>
    <mergeCell ref="C81:D82"/>
    <mergeCell ref="B165:E165"/>
    <mergeCell ref="B167:E167"/>
    <mergeCell ref="B173:B174"/>
    <mergeCell ref="C173:C174"/>
    <mergeCell ref="D173:D174"/>
    <mergeCell ref="E173:E174"/>
    <mergeCell ref="B187:E187"/>
    <mergeCell ref="B188:E188"/>
    <mergeCell ref="B190:I190"/>
    <mergeCell ref="B191:I191"/>
    <mergeCell ref="B160:D160"/>
    <mergeCell ref="B144:D145"/>
    <mergeCell ref="B149:E149"/>
    <mergeCell ref="B150:E150"/>
    <mergeCell ref="B152:I152"/>
    <mergeCell ref="B153:I153"/>
    <mergeCell ref="B154:B155"/>
    <mergeCell ref="E135:E136"/>
    <mergeCell ref="F135:F136"/>
    <mergeCell ref="B80:D80"/>
    <mergeCell ref="B81:B82"/>
    <mergeCell ref="D154:D155"/>
    <mergeCell ref="E154:E155"/>
    <mergeCell ref="F154:F155"/>
    <mergeCell ref="G154:I154"/>
    <mergeCell ref="G135:I135"/>
    <mergeCell ref="B143:D143"/>
    <mergeCell ref="B148:E148"/>
    <mergeCell ref="H148:I148"/>
    <mergeCell ref="H129:I129"/>
    <mergeCell ref="B130:E130"/>
    <mergeCell ref="B131:E131"/>
    <mergeCell ref="B133:I133"/>
    <mergeCell ref="B134:I134"/>
    <mergeCell ref="B95:E95"/>
    <mergeCell ref="H95:I95"/>
    <mergeCell ref="B99:I99"/>
    <mergeCell ref="B100:I100"/>
    <mergeCell ref="B101:B102"/>
    <mergeCell ref="C101:C102"/>
    <mergeCell ref="D101:D102"/>
    <mergeCell ref="E101:E102"/>
    <mergeCell ref="F101:F102"/>
    <mergeCell ref="B59:E59"/>
    <mergeCell ref="B61:E61"/>
    <mergeCell ref="H61:I61"/>
    <mergeCell ref="B62:E62"/>
    <mergeCell ref="B63:E63"/>
    <mergeCell ref="B65:I65"/>
    <mergeCell ref="B66:I66"/>
    <mergeCell ref="B67:B68"/>
    <mergeCell ref="C67:C68"/>
    <mergeCell ref="D67:D68"/>
    <mergeCell ref="E67:E68"/>
    <mergeCell ref="F67:F68"/>
    <mergeCell ref="G67:I67"/>
    <mergeCell ref="B251:L251"/>
    <mergeCell ref="B253:E253"/>
    <mergeCell ref="B255:C255"/>
    <mergeCell ref="B256:C256"/>
    <mergeCell ref="B247:C247"/>
    <mergeCell ref="B186:E186"/>
    <mergeCell ref="H186:I186"/>
    <mergeCell ref="B227:E227"/>
    <mergeCell ref="B229:C229"/>
    <mergeCell ref="B204:D204"/>
    <mergeCell ref="B205:B206"/>
    <mergeCell ref="C205:D206"/>
    <mergeCell ref="B235:C235"/>
    <mergeCell ref="B216:I216"/>
    <mergeCell ref="B217:I217"/>
    <mergeCell ref="B218:B219"/>
    <mergeCell ref="C218:C219"/>
    <mergeCell ref="D218:D219"/>
    <mergeCell ref="E218:E219"/>
    <mergeCell ref="F218:F219"/>
    <mergeCell ref="G218:I218"/>
    <mergeCell ref="G192:I192"/>
  </mergeCells>
  <pageMargins left="0.7" right="0.7" top="0.75" bottom="0.75" header="0.3" footer="0.3"/>
  <drawing r:id="rId1"/>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9F348D-9BAB-4C44-BE9F-EF3A9D34C648}">
  <sheetPr>
    <tabColor theme="8"/>
  </sheetPr>
  <dimension ref="B1:N284"/>
  <sheetViews>
    <sheetView topLeftCell="A76" workbookViewId="0">
      <selection activeCell="B87" sqref="B87:C87"/>
    </sheetView>
  </sheetViews>
  <sheetFormatPr defaultRowHeight="15"/>
  <cols>
    <col min="2" max="2" width="23.28515625" customWidth="1"/>
    <col min="3" max="3" width="13" customWidth="1"/>
    <col min="4" max="4" width="17.5703125" customWidth="1"/>
    <col min="5" max="5" width="22" customWidth="1"/>
    <col min="6" max="6" width="17.42578125" customWidth="1"/>
    <col min="7" max="7" width="27" customWidth="1"/>
    <col min="8" max="8" width="13.7109375" customWidth="1"/>
    <col min="9" max="9" width="16.5703125" customWidth="1"/>
    <col min="10" max="10" width="16.85546875" customWidth="1"/>
    <col min="11" max="11" width="15" customWidth="1"/>
    <col min="12" max="12" width="17.42578125" customWidth="1"/>
    <col min="13" max="13" width="15.7109375" customWidth="1"/>
    <col min="14" max="14" width="17.140625" customWidth="1"/>
    <col min="15" max="15" width="13" customWidth="1"/>
  </cols>
  <sheetData>
    <row r="1" spans="2:12" ht="18.75">
      <c r="B1" s="379" t="s">
        <v>21</v>
      </c>
      <c r="C1" s="380"/>
    </row>
    <row r="3" spans="2:12" ht="19.5" thickBot="1">
      <c r="B3" s="62" t="s">
        <v>1784</v>
      </c>
      <c r="C3" s="76"/>
      <c r="D3" s="76"/>
      <c r="E3" s="76"/>
      <c r="F3" s="76"/>
      <c r="G3" s="76"/>
      <c r="H3" s="76"/>
      <c r="I3" s="76"/>
      <c r="J3" s="76"/>
      <c r="K3" s="76"/>
      <c r="L3" s="76"/>
    </row>
    <row r="5" spans="2:12" ht="15.75">
      <c r="B5" s="381" t="s">
        <v>1785</v>
      </c>
      <c r="C5" s="381"/>
      <c r="D5" s="381"/>
      <c r="E5" s="381"/>
      <c r="F5" s="381"/>
      <c r="G5" s="381"/>
      <c r="H5" s="381"/>
      <c r="I5" s="381"/>
      <c r="J5" s="381"/>
      <c r="K5" s="381"/>
      <c r="L5" s="381"/>
    </row>
    <row r="7" spans="2:12" ht="15.75">
      <c r="B7" s="368" t="s">
        <v>1786</v>
      </c>
      <c r="C7" s="368"/>
      <c r="D7" s="368"/>
      <c r="E7" s="368"/>
    </row>
    <row r="8" spans="2:12" ht="15.75" thickBot="1"/>
    <row r="9" spans="2:12" ht="16.5" thickBot="1">
      <c r="B9" s="375" t="s">
        <v>1787</v>
      </c>
      <c r="C9" s="376"/>
    </row>
    <row r="10" spans="2:12" ht="16.5" thickBot="1">
      <c r="B10" s="77" t="s">
        <v>1788</v>
      </c>
      <c r="C10" s="77" t="s">
        <v>1789</v>
      </c>
    </row>
    <row r="11" spans="2:12" ht="16.5" thickBot="1">
      <c r="B11" s="144" t="s">
        <v>381</v>
      </c>
      <c r="C11" s="78">
        <v>8.9285714285714281E-3</v>
      </c>
    </row>
    <row r="12" spans="2:12" ht="16.5" thickBot="1">
      <c r="B12" s="144" t="s">
        <v>382</v>
      </c>
      <c r="C12" s="78">
        <v>1.1245748299319729</v>
      </c>
    </row>
    <row r="13" spans="2:12" ht="16.5" thickBot="1">
      <c r="B13" s="144" t="s">
        <v>1790</v>
      </c>
      <c r="C13" s="78">
        <v>7.4999999999999983E-2</v>
      </c>
    </row>
    <row r="14" spans="2:12" ht="16.5" thickBot="1">
      <c r="B14" s="144" t="s">
        <v>1791</v>
      </c>
      <c r="C14" s="78">
        <v>15.999999999999996</v>
      </c>
    </row>
    <row r="15" spans="2:12" ht="16.5" thickBot="1">
      <c r="B15" s="144" t="s">
        <v>383</v>
      </c>
      <c r="C15" s="78">
        <v>1.7857142857142854E-3</v>
      </c>
    </row>
    <row r="16" spans="2:12" ht="16.5" thickBot="1">
      <c r="B16" s="144" t="s">
        <v>372</v>
      </c>
      <c r="C16" s="78">
        <v>3.9323979591836729</v>
      </c>
    </row>
    <row r="17" spans="2:7" ht="16.5" thickBot="1">
      <c r="B17" s="144" t="s">
        <v>384</v>
      </c>
      <c r="C17" s="78">
        <v>0.89668367346938749</v>
      </c>
    </row>
    <row r="18" spans="2:7" ht="16.5" thickBot="1">
      <c r="B18" s="144" t="s">
        <v>385</v>
      </c>
      <c r="C18" s="78">
        <v>1.4807380952380949</v>
      </c>
    </row>
    <row r="19" spans="2:7" ht="16.5" thickBot="1">
      <c r="B19" s="144" t="s">
        <v>386</v>
      </c>
      <c r="C19" s="78">
        <v>0.16326530612244897</v>
      </c>
    </row>
    <row r="20" spans="2:7" ht="16.5" thickBot="1">
      <c r="B20" s="144" t="s">
        <v>387</v>
      </c>
      <c r="C20" s="78">
        <v>7.4999999999999983E-2</v>
      </c>
    </row>
    <row r="21" spans="2:7" ht="16.5" thickBot="1">
      <c r="B21" s="144" t="s">
        <v>392</v>
      </c>
      <c r="C21" s="78">
        <v>1.2089285714285714</v>
      </c>
    </row>
    <row r="22" spans="2:7" ht="16.5" thickBot="1">
      <c r="B22" s="144" t="s">
        <v>388</v>
      </c>
      <c r="C22" s="78">
        <v>1.4169217687074829</v>
      </c>
    </row>
    <row r="23" spans="2:7" ht="16.5" thickBot="1">
      <c r="B23" s="144" t="s">
        <v>393</v>
      </c>
      <c r="C23" s="78">
        <v>1.1428571428571428</v>
      </c>
    </row>
    <row r="24" spans="2:7" ht="16.5" thickBot="1">
      <c r="B24" s="144" t="s">
        <v>373</v>
      </c>
      <c r="C24" s="78">
        <v>0.24489795918367344</v>
      </c>
    </row>
    <row r="25" spans="2:7" ht="16.5" thickBot="1">
      <c r="B25" s="144" t="s">
        <v>394</v>
      </c>
      <c r="C25" s="78">
        <v>1.3061224489795917</v>
      </c>
    </row>
    <row r="26" spans="2:7" ht="16.5" thickBot="1">
      <c r="B26" s="144" t="s">
        <v>390</v>
      </c>
      <c r="C26" s="78">
        <v>0.16326530612244897</v>
      </c>
    </row>
    <row r="27" spans="2:7" ht="16.5" thickBot="1">
      <c r="B27" s="144" t="s">
        <v>371</v>
      </c>
      <c r="C27" s="78">
        <v>1.1517857142857142</v>
      </c>
    </row>
    <row r="28" spans="2:7" ht="16.5" thickBot="1">
      <c r="B28" s="144" t="s">
        <v>389</v>
      </c>
      <c r="C28" s="78">
        <v>4.0803571428571423</v>
      </c>
    </row>
    <row r="29" spans="2:7" ht="16.5" thickBot="1">
      <c r="B29" s="144" t="s">
        <v>395</v>
      </c>
      <c r="C29" s="78">
        <v>1.3877551020408163</v>
      </c>
    </row>
    <row r="30" spans="2:7" ht="16.5" thickBot="1">
      <c r="B30" s="144" t="s">
        <v>391</v>
      </c>
      <c r="C30" s="78">
        <v>8.9285714285714281E-3</v>
      </c>
      <c r="E30" s="152"/>
      <c r="G30" s="212"/>
    </row>
    <row r="33" spans="2:10" ht="15.75">
      <c r="B33" s="368" t="s">
        <v>1792</v>
      </c>
      <c r="C33" s="368"/>
      <c r="D33" s="368"/>
      <c r="E33" s="368"/>
      <c r="F33" s="368"/>
    </row>
    <row r="35" spans="2:10" ht="15.75" thickBot="1"/>
    <row r="36" spans="2:10" ht="16.5" thickBot="1">
      <c r="B36" s="375" t="s">
        <v>1793</v>
      </c>
      <c r="C36" s="376"/>
      <c r="D36" s="376"/>
      <c r="E36" s="394"/>
      <c r="G36" s="375" t="s">
        <v>1794</v>
      </c>
      <c r="H36" s="376"/>
      <c r="I36" s="376"/>
      <c r="J36" s="394"/>
    </row>
    <row r="37" spans="2:10" ht="16.5" thickBot="1">
      <c r="B37" s="144" t="s">
        <v>1795</v>
      </c>
      <c r="C37" s="395" t="s">
        <v>1796</v>
      </c>
      <c r="D37" s="456"/>
      <c r="E37" s="396"/>
      <c r="G37" s="144" t="s">
        <v>1795</v>
      </c>
      <c r="H37" s="395" t="s">
        <v>1797</v>
      </c>
      <c r="I37" s="456"/>
      <c r="J37" s="396"/>
    </row>
    <row r="38" spans="2:10" ht="16.5" thickBot="1">
      <c r="B38" s="419" t="s">
        <v>776</v>
      </c>
      <c r="C38" s="445"/>
      <c r="D38" s="419" t="s">
        <v>777</v>
      </c>
      <c r="E38" s="445"/>
      <c r="G38" s="419" t="s">
        <v>776</v>
      </c>
      <c r="H38" s="445"/>
      <c r="I38" s="419" t="s">
        <v>777</v>
      </c>
      <c r="J38" s="445"/>
    </row>
    <row r="39" spans="2:10" ht="15.75" thickBot="1">
      <c r="B39" s="395">
        <f>3333</f>
        <v>3333</v>
      </c>
      <c r="C39" s="396"/>
      <c r="D39" s="395" t="s">
        <v>1798</v>
      </c>
      <c r="E39" s="396"/>
      <c r="G39" s="395">
        <v>45</v>
      </c>
      <c r="H39" s="396"/>
      <c r="I39" s="395" t="s">
        <v>1798</v>
      </c>
      <c r="J39" s="396"/>
    </row>
    <row r="40" spans="2:10" ht="15.75" thickBot="1">
      <c r="B40" s="395">
        <f>B39*0.1</f>
        <v>333.3</v>
      </c>
      <c r="C40" s="396"/>
      <c r="D40" s="395" t="s">
        <v>1799</v>
      </c>
      <c r="E40" s="396"/>
      <c r="G40" s="395">
        <f>G39*0.12</f>
        <v>5.3999999999999995</v>
      </c>
      <c r="H40" s="396"/>
      <c r="I40" s="395" t="s">
        <v>1799</v>
      </c>
      <c r="J40" s="396"/>
    </row>
    <row r="41" spans="2:10" ht="16.5" thickBot="1">
      <c r="B41" s="144" t="s">
        <v>1795</v>
      </c>
      <c r="C41" s="395" t="s">
        <v>1800</v>
      </c>
      <c r="D41" s="456"/>
      <c r="E41" s="396"/>
      <c r="G41" s="144" t="s">
        <v>1795</v>
      </c>
      <c r="H41" s="395" t="s">
        <v>1801</v>
      </c>
      <c r="I41" s="456"/>
      <c r="J41" s="396"/>
    </row>
    <row r="42" spans="2:10" ht="16.5" thickBot="1">
      <c r="B42" s="419" t="s">
        <v>776</v>
      </c>
      <c r="C42" s="445"/>
      <c r="D42" s="419" t="s">
        <v>777</v>
      </c>
      <c r="E42" s="445"/>
      <c r="G42" s="419" t="s">
        <v>776</v>
      </c>
      <c r="H42" s="445"/>
      <c r="I42" s="419" t="s">
        <v>777</v>
      </c>
      <c r="J42" s="445"/>
    </row>
    <row r="43" spans="2:10" ht="15.75" thickBot="1">
      <c r="B43" s="395">
        <f>2500</f>
        <v>2500</v>
      </c>
      <c r="C43" s="396"/>
      <c r="D43" s="395" t="s">
        <v>1798</v>
      </c>
      <c r="E43" s="396"/>
      <c r="G43" s="395">
        <v>1</v>
      </c>
      <c r="H43" s="396"/>
      <c r="I43" s="395" t="s">
        <v>1802</v>
      </c>
      <c r="J43" s="396"/>
    </row>
    <row r="44" spans="2:10" ht="15.75" thickBot="1">
      <c r="B44" s="395">
        <f>B43*0.15</f>
        <v>375</v>
      </c>
      <c r="C44" s="396"/>
      <c r="D44" s="395" t="s">
        <v>1799</v>
      </c>
      <c r="E44" s="396"/>
      <c r="G44" s="395">
        <f>G43*0.15*0.804</f>
        <v>0.1206</v>
      </c>
      <c r="H44" s="396"/>
      <c r="I44" s="395" t="s">
        <v>1799</v>
      </c>
      <c r="J44" s="396"/>
    </row>
    <row r="45" spans="2:10" ht="16.5" thickBot="1">
      <c r="B45" s="144" t="s">
        <v>1795</v>
      </c>
      <c r="C45" s="395" t="s">
        <v>1803</v>
      </c>
      <c r="D45" s="456"/>
      <c r="E45" s="396"/>
      <c r="G45" s="144" t="s">
        <v>1795</v>
      </c>
      <c r="H45" s="395" t="s">
        <v>1800</v>
      </c>
      <c r="I45" s="456"/>
      <c r="J45" s="396"/>
    </row>
    <row r="46" spans="2:10" ht="16.5" thickBot="1">
      <c r="B46" s="419" t="s">
        <v>776</v>
      </c>
      <c r="C46" s="445"/>
      <c r="D46" s="419" t="s">
        <v>777</v>
      </c>
      <c r="E46" s="445"/>
      <c r="G46" s="419" t="s">
        <v>776</v>
      </c>
      <c r="H46" s="445"/>
      <c r="I46" s="419" t="s">
        <v>777</v>
      </c>
      <c r="J46" s="445"/>
    </row>
    <row r="47" spans="2:10" ht="15.75" thickBot="1">
      <c r="B47" s="395">
        <v>5</v>
      </c>
      <c r="C47" s="396"/>
      <c r="D47" s="395" t="s">
        <v>1802</v>
      </c>
      <c r="E47" s="396"/>
      <c r="G47" s="395">
        <v>45</v>
      </c>
      <c r="H47" s="396"/>
      <c r="I47" s="395" t="s">
        <v>1798</v>
      </c>
      <c r="J47" s="396"/>
    </row>
    <row r="48" spans="2:10" ht="15.75" thickBot="1">
      <c r="B48" s="395">
        <f>B47*0.18*0.804</f>
        <v>0.72360000000000002</v>
      </c>
      <c r="C48" s="396"/>
      <c r="D48" s="395" t="s">
        <v>1799</v>
      </c>
      <c r="E48" s="396"/>
      <c r="G48" s="395">
        <f>G47*0.15</f>
        <v>6.75</v>
      </c>
      <c r="H48" s="396"/>
      <c r="I48" s="395" t="s">
        <v>1799</v>
      </c>
      <c r="J48" s="396"/>
    </row>
    <row r="49" spans="2:10" ht="16.5" thickBot="1">
      <c r="B49" s="144" t="s">
        <v>1795</v>
      </c>
      <c r="C49" s="395" t="s">
        <v>1804</v>
      </c>
      <c r="D49" s="456"/>
      <c r="E49" s="396"/>
      <c r="G49" s="144" t="s">
        <v>1795</v>
      </c>
      <c r="H49" s="395" t="s">
        <v>1805</v>
      </c>
      <c r="I49" s="456"/>
      <c r="J49" s="396"/>
    </row>
    <row r="50" spans="2:10" ht="16.5" thickBot="1">
      <c r="B50" s="419" t="s">
        <v>776</v>
      </c>
      <c r="C50" s="445"/>
      <c r="D50" s="419" t="s">
        <v>777</v>
      </c>
      <c r="E50" s="445"/>
      <c r="G50" s="419" t="s">
        <v>776</v>
      </c>
      <c r="H50" s="445"/>
      <c r="I50" s="419" t="s">
        <v>777</v>
      </c>
      <c r="J50" s="445"/>
    </row>
    <row r="51" spans="2:10" ht="15.75" thickBot="1">
      <c r="B51" s="395">
        <v>2500</v>
      </c>
      <c r="C51" s="396"/>
      <c r="D51" s="395" t="s">
        <v>1802</v>
      </c>
      <c r="E51" s="396"/>
      <c r="G51" s="395">
        <v>45</v>
      </c>
      <c r="H51" s="396"/>
      <c r="I51" s="395" t="s">
        <v>1798</v>
      </c>
      <c r="J51" s="396"/>
    </row>
    <row r="52" spans="2:10" ht="15.75" thickBot="1">
      <c r="B52" s="395">
        <f>B51*0.18*0.804</f>
        <v>361.8</v>
      </c>
      <c r="C52" s="396"/>
      <c r="D52" s="395" t="s">
        <v>1799</v>
      </c>
      <c r="E52" s="396"/>
      <c r="G52" s="395">
        <f>G51*0.21</f>
        <v>9.4499999999999993</v>
      </c>
      <c r="H52" s="396"/>
      <c r="I52" s="395" t="s">
        <v>1799</v>
      </c>
      <c r="J52" s="396"/>
    </row>
    <row r="53" spans="2:10" ht="16.5" thickBot="1">
      <c r="B53" s="144" t="s">
        <v>1795</v>
      </c>
      <c r="C53" s="395" t="s">
        <v>1806</v>
      </c>
      <c r="D53" s="456"/>
      <c r="E53" s="396"/>
      <c r="G53" s="144" t="s">
        <v>1795</v>
      </c>
      <c r="H53" s="395" t="s">
        <v>1807</v>
      </c>
      <c r="I53" s="456"/>
      <c r="J53" s="396"/>
    </row>
    <row r="54" spans="2:10" ht="16.5" thickBot="1">
      <c r="B54" s="419" t="s">
        <v>776</v>
      </c>
      <c r="C54" s="445"/>
      <c r="D54" s="419" t="s">
        <v>777</v>
      </c>
      <c r="E54" s="445"/>
      <c r="G54" s="419" t="s">
        <v>776</v>
      </c>
      <c r="H54" s="445"/>
      <c r="I54" s="419" t="s">
        <v>777</v>
      </c>
      <c r="J54" s="445"/>
    </row>
    <row r="55" spans="2:10" ht="15.75" thickBot="1">
      <c r="B55" s="395">
        <f>3333</f>
        <v>3333</v>
      </c>
      <c r="C55" s="396"/>
      <c r="D55" s="395" t="s">
        <v>1798</v>
      </c>
      <c r="E55" s="396"/>
      <c r="G55" s="395">
        <f>45*2</f>
        <v>90</v>
      </c>
      <c r="H55" s="396"/>
      <c r="I55" s="395" t="s">
        <v>1798</v>
      </c>
      <c r="J55" s="396"/>
    </row>
    <row r="56" spans="2:10" ht="15.75" thickBot="1">
      <c r="B56" s="395">
        <f>B55*0.15</f>
        <v>499.95</v>
      </c>
      <c r="C56" s="396"/>
      <c r="D56" s="395" t="s">
        <v>1799</v>
      </c>
      <c r="E56" s="396"/>
      <c r="G56" s="395">
        <f>G55*0.17</f>
        <v>15.3</v>
      </c>
      <c r="H56" s="396"/>
      <c r="I56" s="395" t="s">
        <v>1799</v>
      </c>
      <c r="J56" s="396"/>
    </row>
    <row r="57" spans="2:10" ht="16.5" thickBot="1">
      <c r="B57" s="395" t="s">
        <v>1808</v>
      </c>
      <c r="C57" s="456"/>
      <c r="D57" s="456"/>
      <c r="E57" s="396"/>
      <c r="G57" s="144" t="s">
        <v>1795</v>
      </c>
      <c r="H57" s="395" t="s">
        <v>1809</v>
      </c>
      <c r="I57" s="456"/>
      <c r="J57" s="396"/>
    </row>
    <row r="58" spans="2:10" ht="16.5" thickBot="1">
      <c r="B58" s="419" t="s">
        <v>776</v>
      </c>
      <c r="C58" s="445"/>
      <c r="D58" s="419" t="s">
        <v>777</v>
      </c>
      <c r="E58" s="445"/>
      <c r="G58" s="419" t="s">
        <v>776</v>
      </c>
      <c r="H58" s="445"/>
      <c r="I58" s="419" t="s">
        <v>777</v>
      </c>
      <c r="J58" s="445"/>
    </row>
    <row r="59" spans="2:10" ht="15.75" thickBot="1">
      <c r="B59" s="395">
        <v>0.01</v>
      </c>
      <c r="C59" s="396"/>
      <c r="D59" s="395" t="s">
        <v>1810</v>
      </c>
      <c r="E59" s="396"/>
      <c r="G59" s="395">
        <v>2</v>
      </c>
      <c r="H59" s="396"/>
      <c r="I59" s="395" t="s">
        <v>1798</v>
      </c>
      <c r="J59" s="396"/>
    </row>
    <row r="60" spans="2:10" ht="15.75" thickBot="1">
      <c r="B60" s="395">
        <f>B40+B44+B48+B52+B56</f>
        <v>1570.7736</v>
      </c>
      <c r="C60" s="396"/>
      <c r="D60" s="395" t="s">
        <v>1799</v>
      </c>
      <c r="E60" s="396"/>
      <c r="G60" s="395">
        <f>G59*0.2</f>
        <v>0.4</v>
      </c>
      <c r="H60" s="396"/>
      <c r="I60" s="395" t="s">
        <v>1799</v>
      </c>
      <c r="J60" s="396"/>
    </row>
    <row r="61" spans="2:10" ht="15.75" thickBot="1">
      <c r="B61" s="180">
        <f>B59*B60</f>
        <v>15.707736000000001</v>
      </c>
      <c r="C61" s="181"/>
      <c r="D61" s="182" t="s">
        <v>1811</v>
      </c>
      <c r="E61" s="182" t="s">
        <v>1812</v>
      </c>
      <c r="G61" s="395" t="s">
        <v>1808</v>
      </c>
      <c r="H61" s="456"/>
      <c r="I61" s="456"/>
      <c r="J61" s="396"/>
    </row>
    <row r="62" spans="2:10" ht="16.5" thickBot="1">
      <c r="G62" s="174" t="s">
        <v>776</v>
      </c>
      <c r="H62" s="175"/>
      <c r="I62" s="174" t="s">
        <v>777</v>
      </c>
      <c r="J62" s="175"/>
    </row>
    <row r="63" spans="2:10" ht="15.75" thickBot="1">
      <c r="G63" s="395">
        <v>0.01</v>
      </c>
      <c r="H63" s="396"/>
      <c r="I63" s="395" t="s">
        <v>1810</v>
      </c>
      <c r="J63" s="396"/>
    </row>
    <row r="64" spans="2:10" ht="16.5" thickBot="1">
      <c r="B64" s="375" t="s">
        <v>1813</v>
      </c>
      <c r="C64" s="376"/>
      <c r="D64" s="376"/>
      <c r="E64" s="394"/>
      <c r="G64" s="395">
        <f>G40+G44+G48+G52+G56+G60</f>
        <v>37.4206</v>
      </c>
      <c r="H64" s="396"/>
      <c r="I64" s="395" t="s">
        <v>1799</v>
      </c>
      <c r="J64" s="396"/>
    </row>
    <row r="65" spans="2:10" ht="16.5" thickBot="1">
      <c r="B65" s="144" t="s">
        <v>1795</v>
      </c>
      <c r="C65" s="395" t="s">
        <v>1814</v>
      </c>
      <c r="D65" s="456"/>
      <c r="E65" s="396"/>
      <c r="G65" s="180">
        <f>G63*G64</f>
        <v>0.37420600000000004</v>
      </c>
      <c r="H65" s="181"/>
      <c r="I65" s="182" t="s">
        <v>1811</v>
      </c>
      <c r="J65" s="182" t="s">
        <v>1812</v>
      </c>
    </row>
    <row r="66" spans="2:10" ht="16.5" thickBot="1">
      <c r="B66" s="419" t="s">
        <v>776</v>
      </c>
      <c r="C66" s="445"/>
      <c r="D66" s="419" t="s">
        <v>777</v>
      </c>
      <c r="E66" s="445"/>
    </row>
    <row r="67" spans="2:10" ht="15.75" thickBot="1">
      <c r="B67" s="395">
        <v>200</v>
      </c>
      <c r="C67" s="396"/>
      <c r="D67" s="395" t="s">
        <v>1798</v>
      </c>
      <c r="E67" s="396"/>
    </row>
    <row r="68" spans="2:10" ht="16.5" thickBot="1">
      <c r="B68" s="395">
        <f>B67*0.1</f>
        <v>20</v>
      </c>
      <c r="C68" s="396"/>
      <c r="D68" s="395" t="s">
        <v>1799</v>
      </c>
      <c r="E68" s="396"/>
      <c r="G68" s="375" t="s">
        <v>1815</v>
      </c>
      <c r="H68" s="376"/>
      <c r="I68" s="376"/>
      <c r="J68" s="394"/>
    </row>
    <row r="69" spans="2:10" ht="16.5" thickBot="1">
      <c r="B69" s="144" t="s">
        <v>1795</v>
      </c>
      <c r="C69" s="395" t="s">
        <v>1806</v>
      </c>
      <c r="D69" s="456"/>
      <c r="E69" s="396"/>
      <c r="G69" s="144" t="s">
        <v>1795</v>
      </c>
      <c r="H69" s="395" t="s">
        <v>1796</v>
      </c>
      <c r="I69" s="456"/>
      <c r="J69" s="396"/>
    </row>
    <row r="70" spans="2:10" ht="16.5" thickBot="1">
      <c r="B70" s="419" t="s">
        <v>776</v>
      </c>
      <c r="C70" s="445"/>
      <c r="D70" s="419" t="s">
        <v>777</v>
      </c>
      <c r="E70" s="445"/>
      <c r="G70" s="419" t="s">
        <v>776</v>
      </c>
      <c r="H70" s="445"/>
      <c r="I70" s="419" t="s">
        <v>777</v>
      </c>
      <c r="J70" s="445"/>
    </row>
    <row r="71" spans="2:10" ht="15.75" thickBot="1">
      <c r="B71" s="395">
        <v>150</v>
      </c>
      <c r="C71" s="396"/>
      <c r="D71" s="395" t="s">
        <v>1798</v>
      </c>
      <c r="E71" s="396"/>
      <c r="G71" s="395">
        <f>7*50*2</f>
        <v>700</v>
      </c>
      <c r="H71" s="396"/>
      <c r="I71" s="395" t="s">
        <v>1798</v>
      </c>
      <c r="J71" s="396"/>
    </row>
    <row r="72" spans="2:10" ht="15.75" thickBot="1">
      <c r="B72" s="395">
        <f>B71*0.15</f>
        <v>22.5</v>
      </c>
      <c r="C72" s="396"/>
      <c r="D72" s="395" t="s">
        <v>1799</v>
      </c>
      <c r="E72" s="396"/>
      <c r="G72" s="395">
        <f>G71*0.1</f>
        <v>70</v>
      </c>
      <c r="H72" s="396"/>
      <c r="I72" s="395" t="s">
        <v>1799</v>
      </c>
      <c r="J72" s="396"/>
    </row>
    <row r="73" spans="2:10" ht="16.5" thickBot="1">
      <c r="B73" s="395" t="s">
        <v>1808</v>
      </c>
      <c r="C73" s="456"/>
      <c r="D73" s="456"/>
      <c r="E73" s="396"/>
      <c r="G73" s="144" t="s">
        <v>1795</v>
      </c>
      <c r="H73" s="395" t="s">
        <v>1800</v>
      </c>
      <c r="I73" s="456"/>
      <c r="J73" s="396"/>
    </row>
    <row r="74" spans="2:10" ht="16.5" thickBot="1">
      <c r="B74" s="419" t="s">
        <v>776</v>
      </c>
      <c r="C74" s="445"/>
      <c r="D74" s="419" t="s">
        <v>777</v>
      </c>
      <c r="E74" s="445"/>
      <c r="G74" s="419" t="s">
        <v>776</v>
      </c>
      <c r="H74" s="445"/>
      <c r="I74" s="419" t="s">
        <v>777</v>
      </c>
      <c r="J74" s="445"/>
    </row>
    <row r="75" spans="2:10" ht="15.75" thickBot="1">
      <c r="B75" s="395">
        <v>0.01</v>
      </c>
      <c r="C75" s="396"/>
      <c r="D75" s="395" t="s">
        <v>1810</v>
      </c>
      <c r="E75" s="396"/>
      <c r="G75" s="395">
        <f>9*50*2</f>
        <v>900</v>
      </c>
      <c r="H75" s="396"/>
      <c r="I75" s="395" t="s">
        <v>1798</v>
      </c>
      <c r="J75" s="396"/>
    </row>
    <row r="76" spans="2:10" ht="15.75" thickBot="1">
      <c r="B76" s="395">
        <f>B68+B72</f>
        <v>42.5</v>
      </c>
      <c r="C76" s="396"/>
      <c r="D76" s="395" t="s">
        <v>1799</v>
      </c>
      <c r="E76" s="396"/>
      <c r="G76" s="395">
        <f>G75*0.15</f>
        <v>135</v>
      </c>
      <c r="H76" s="396"/>
      <c r="I76" s="395" t="s">
        <v>1799</v>
      </c>
      <c r="J76" s="396"/>
    </row>
    <row r="77" spans="2:10" ht="16.5" thickBot="1">
      <c r="B77" s="180">
        <f>B75*B76</f>
        <v>0.42499999999999999</v>
      </c>
      <c r="C77" s="181"/>
      <c r="D77" s="182" t="s">
        <v>1811</v>
      </c>
      <c r="E77" s="182" t="s">
        <v>1812</v>
      </c>
      <c r="G77" s="144" t="s">
        <v>1795</v>
      </c>
      <c r="H77" s="395" t="s">
        <v>1806</v>
      </c>
      <c r="I77" s="456"/>
      <c r="J77" s="396"/>
    </row>
    <row r="78" spans="2:10" ht="16.5" thickBot="1">
      <c r="G78" s="419" t="s">
        <v>776</v>
      </c>
      <c r="H78" s="445"/>
      <c r="I78" s="419" t="s">
        <v>777</v>
      </c>
      <c r="J78" s="445"/>
    </row>
    <row r="79" spans="2:10" ht="15.75" thickBot="1">
      <c r="G79" s="395">
        <f>6*50*2</f>
        <v>600</v>
      </c>
      <c r="H79" s="396"/>
      <c r="I79" s="395" t="s">
        <v>1798</v>
      </c>
      <c r="J79" s="396"/>
    </row>
    <row r="80" spans="2:10" ht="16.5" thickBot="1">
      <c r="B80" s="375" t="s">
        <v>1816</v>
      </c>
      <c r="C80" s="376"/>
      <c r="D80" s="376"/>
      <c r="E80" s="394"/>
      <c r="G80" s="395">
        <f>G79*0.15</f>
        <v>90</v>
      </c>
      <c r="H80" s="396"/>
      <c r="I80" s="395" t="s">
        <v>1799</v>
      </c>
      <c r="J80" s="396"/>
    </row>
    <row r="81" spans="2:10" ht="16.5" thickBot="1">
      <c r="B81" s="144" t="s">
        <v>1795</v>
      </c>
      <c r="C81" s="395" t="s">
        <v>1796</v>
      </c>
      <c r="D81" s="456"/>
      <c r="E81" s="396"/>
      <c r="G81" s="395" t="s">
        <v>1808</v>
      </c>
      <c r="H81" s="456"/>
      <c r="I81" s="456"/>
      <c r="J81" s="396"/>
    </row>
    <row r="82" spans="2:10" ht="16.5" thickBot="1">
      <c r="B82" s="419" t="s">
        <v>776</v>
      </c>
      <c r="C82" s="445"/>
      <c r="D82" s="419" t="s">
        <v>777</v>
      </c>
      <c r="E82" s="445"/>
      <c r="G82" s="419" t="s">
        <v>776</v>
      </c>
      <c r="H82" s="445"/>
      <c r="I82" s="419" t="s">
        <v>777</v>
      </c>
      <c r="J82" s="445"/>
    </row>
    <row r="83" spans="2:10" ht="15.75" thickBot="1">
      <c r="B83" s="395">
        <f>4*3</f>
        <v>12</v>
      </c>
      <c r="C83" s="396"/>
      <c r="D83" s="395" t="s">
        <v>1798</v>
      </c>
      <c r="E83" s="396"/>
      <c r="G83" s="395">
        <v>0.01</v>
      </c>
      <c r="H83" s="396"/>
      <c r="I83" s="395" t="s">
        <v>1810</v>
      </c>
      <c r="J83" s="396"/>
    </row>
    <row r="84" spans="2:10" ht="15.75" thickBot="1">
      <c r="B84" s="395">
        <f>B83*0.1</f>
        <v>1.2000000000000002</v>
      </c>
      <c r="C84" s="396"/>
      <c r="D84" s="395" t="s">
        <v>1799</v>
      </c>
      <c r="E84" s="396"/>
      <c r="G84" s="395">
        <f>G72+G76+G80</f>
        <v>295</v>
      </c>
      <c r="H84" s="396"/>
      <c r="I84" s="395" t="s">
        <v>1799</v>
      </c>
      <c r="J84" s="396"/>
    </row>
    <row r="85" spans="2:10" ht="16.5" thickBot="1">
      <c r="B85" s="144" t="s">
        <v>1795</v>
      </c>
      <c r="C85" s="395" t="s">
        <v>1809</v>
      </c>
      <c r="D85" s="456"/>
      <c r="E85" s="396"/>
      <c r="G85" s="180">
        <f>G83*G84</f>
        <v>2.95</v>
      </c>
      <c r="H85" s="181"/>
      <c r="I85" s="182" t="s">
        <v>1811</v>
      </c>
      <c r="J85" s="182" t="s">
        <v>1812</v>
      </c>
    </row>
    <row r="86" spans="2:10" ht="16.5" thickBot="1">
      <c r="B86" s="419" t="s">
        <v>776</v>
      </c>
      <c r="C86" s="445"/>
      <c r="D86" s="419" t="s">
        <v>777</v>
      </c>
      <c r="E86" s="445"/>
    </row>
    <row r="87" spans="2:10" ht="15.75" thickBot="1">
      <c r="B87" s="395">
        <f>1*3</f>
        <v>3</v>
      </c>
      <c r="C87" s="396"/>
      <c r="D87" s="395" t="s">
        <v>1798</v>
      </c>
      <c r="E87" s="396"/>
    </row>
    <row r="88" spans="2:10" ht="16.5" thickBot="1">
      <c r="B88" s="395">
        <f>B87*0.2</f>
        <v>0.60000000000000009</v>
      </c>
      <c r="C88" s="396"/>
      <c r="D88" s="395" t="s">
        <v>1799</v>
      </c>
      <c r="E88" s="396"/>
      <c r="G88" s="375" t="s">
        <v>1817</v>
      </c>
      <c r="H88" s="376"/>
      <c r="I88" s="376"/>
      <c r="J88" s="394"/>
    </row>
    <row r="89" spans="2:10" ht="16.5" thickBot="1">
      <c r="B89" s="395" t="s">
        <v>1808</v>
      </c>
      <c r="C89" s="456"/>
      <c r="D89" s="456"/>
      <c r="E89" s="396"/>
      <c r="G89" s="144" t="s">
        <v>1795</v>
      </c>
      <c r="H89" s="395" t="s">
        <v>1796</v>
      </c>
      <c r="I89" s="456"/>
      <c r="J89" s="396"/>
    </row>
    <row r="90" spans="2:10" ht="16.5" thickBot="1">
      <c r="B90" s="419" t="s">
        <v>776</v>
      </c>
      <c r="C90" s="445"/>
      <c r="D90" s="419" t="s">
        <v>777</v>
      </c>
      <c r="E90" s="445"/>
      <c r="G90" s="419" t="s">
        <v>776</v>
      </c>
      <c r="H90" s="445"/>
      <c r="I90" s="419" t="s">
        <v>777</v>
      </c>
      <c r="J90" s="445"/>
    </row>
    <row r="91" spans="2:10" ht="15.75" thickBot="1">
      <c r="B91" s="395">
        <v>0.01</v>
      </c>
      <c r="C91" s="396"/>
      <c r="D91" s="395" t="s">
        <v>1810</v>
      </c>
      <c r="E91" s="396"/>
      <c r="G91" s="395">
        <v>40.799999999999997</v>
      </c>
      <c r="H91" s="396"/>
      <c r="I91" s="395" t="s">
        <v>1798</v>
      </c>
      <c r="J91" s="396"/>
    </row>
    <row r="92" spans="2:10" ht="15.75" thickBot="1">
      <c r="B92" s="395">
        <f>B84+B88</f>
        <v>1.8000000000000003</v>
      </c>
      <c r="C92" s="396"/>
      <c r="D92" s="395" t="s">
        <v>1799</v>
      </c>
      <c r="E92" s="396"/>
      <c r="G92" s="395">
        <f>G91*0.1</f>
        <v>4.08</v>
      </c>
      <c r="H92" s="396"/>
      <c r="I92" s="395" t="s">
        <v>1799</v>
      </c>
      <c r="J92" s="396"/>
    </row>
    <row r="93" spans="2:10" ht="16.5" thickBot="1">
      <c r="B93" s="180">
        <f>B91*B92</f>
        <v>1.8000000000000002E-2</v>
      </c>
      <c r="C93" s="181"/>
      <c r="D93" s="182" t="s">
        <v>1811</v>
      </c>
      <c r="E93" s="182" t="s">
        <v>1812</v>
      </c>
      <c r="G93" s="144" t="s">
        <v>1795</v>
      </c>
      <c r="H93" s="395" t="s">
        <v>1818</v>
      </c>
      <c r="I93" s="456"/>
      <c r="J93" s="396"/>
    </row>
    <row r="94" spans="2:10" ht="16.5" thickBot="1">
      <c r="G94" s="419" t="s">
        <v>776</v>
      </c>
      <c r="H94" s="445"/>
      <c r="I94" s="419" t="s">
        <v>777</v>
      </c>
      <c r="J94" s="445"/>
    </row>
    <row r="95" spans="2:10" ht="15.75" thickBot="1">
      <c r="G95" s="395">
        <v>20.399999999999999</v>
      </c>
      <c r="H95" s="396"/>
      <c r="I95" s="395" t="s">
        <v>1798</v>
      </c>
      <c r="J95" s="396"/>
    </row>
    <row r="96" spans="2:10" ht="16.5" thickBot="1">
      <c r="B96" s="375" t="s">
        <v>1819</v>
      </c>
      <c r="C96" s="376"/>
      <c r="D96" s="376"/>
      <c r="E96" s="394"/>
      <c r="G96" s="395">
        <f>G95*0.27</f>
        <v>5.508</v>
      </c>
      <c r="H96" s="396"/>
      <c r="I96" s="395" t="s">
        <v>1799</v>
      </c>
      <c r="J96" s="396"/>
    </row>
    <row r="97" spans="2:10" ht="16.5" thickBot="1">
      <c r="B97" s="144" t="s">
        <v>1795</v>
      </c>
      <c r="C97" s="395" t="s">
        <v>1797</v>
      </c>
      <c r="D97" s="456"/>
      <c r="E97" s="396"/>
      <c r="G97" s="395" t="s">
        <v>1808</v>
      </c>
      <c r="H97" s="456"/>
      <c r="I97" s="456"/>
      <c r="J97" s="396"/>
    </row>
    <row r="98" spans="2:10" ht="16.5" thickBot="1">
      <c r="B98" s="419" t="s">
        <v>776</v>
      </c>
      <c r="C98" s="445"/>
      <c r="D98" s="419" t="s">
        <v>777</v>
      </c>
      <c r="E98" s="445"/>
      <c r="G98" s="419" t="s">
        <v>776</v>
      </c>
      <c r="H98" s="445"/>
      <c r="I98" s="419" t="s">
        <v>777</v>
      </c>
      <c r="J98" s="445"/>
    </row>
    <row r="99" spans="2:10" ht="15.75" thickBot="1">
      <c r="B99" s="395">
        <f>1000*4</f>
        <v>4000</v>
      </c>
      <c r="C99" s="396"/>
      <c r="D99" s="395" t="s">
        <v>1798</v>
      </c>
      <c r="E99" s="396"/>
      <c r="G99" s="395">
        <v>0.01</v>
      </c>
      <c r="H99" s="396"/>
      <c r="I99" s="395" t="s">
        <v>1810</v>
      </c>
      <c r="J99" s="396"/>
    </row>
    <row r="100" spans="2:10" ht="15.75" thickBot="1">
      <c r="B100" s="395">
        <f>B99*0.12</f>
        <v>480</v>
      </c>
      <c r="C100" s="396"/>
      <c r="D100" s="395" t="s">
        <v>1799</v>
      </c>
      <c r="E100" s="396"/>
      <c r="G100" s="395">
        <f>G92+G96</f>
        <v>9.588000000000001</v>
      </c>
      <c r="H100" s="396"/>
      <c r="I100" s="395" t="s">
        <v>1799</v>
      </c>
      <c r="J100" s="396"/>
    </row>
    <row r="101" spans="2:10" ht="16.5" thickBot="1">
      <c r="B101" s="144" t="s">
        <v>1795</v>
      </c>
      <c r="C101" s="395" t="s">
        <v>1806</v>
      </c>
      <c r="D101" s="456"/>
      <c r="E101" s="396"/>
      <c r="G101" s="180">
        <f>G99*G100</f>
        <v>9.5880000000000007E-2</v>
      </c>
      <c r="H101" s="181"/>
      <c r="I101" s="182" t="s">
        <v>1811</v>
      </c>
      <c r="J101" s="182" t="s">
        <v>1812</v>
      </c>
    </row>
    <row r="102" spans="2:10" ht="16.5" thickBot="1">
      <c r="B102" s="419" t="s">
        <v>776</v>
      </c>
      <c r="C102" s="445"/>
      <c r="D102" s="419" t="s">
        <v>777</v>
      </c>
      <c r="E102" s="445"/>
    </row>
    <row r="103" spans="2:10" ht="15.75" thickBot="1">
      <c r="B103" s="395">
        <f>1000*4</f>
        <v>4000</v>
      </c>
      <c r="C103" s="396"/>
      <c r="D103" s="395" t="s">
        <v>1802</v>
      </c>
      <c r="E103" s="396"/>
    </row>
    <row r="104" spans="2:10" ht="16.5" thickBot="1">
      <c r="B104" s="395">
        <f>B103*0.15*0.804</f>
        <v>482.40000000000003</v>
      </c>
      <c r="C104" s="396"/>
      <c r="D104" s="395" t="s">
        <v>1799</v>
      </c>
      <c r="E104" s="396"/>
      <c r="G104" s="375" t="s">
        <v>1820</v>
      </c>
      <c r="H104" s="376"/>
      <c r="I104" s="376"/>
      <c r="J104" s="394"/>
    </row>
    <row r="105" spans="2:10" ht="16.5" thickBot="1">
      <c r="B105" s="144" t="s">
        <v>1795</v>
      </c>
      <c r="C105" s="395" t="s">
        <v>1803</v>
      </c>
      <c r="D105" s="456"/>
      <c r="E105" s="396"/>
      <c r="G105" s="144" t="s">
        <v>1795</v>
      </c>
      <c r="H105" s="395" t="s">
        <v>1796</v>
      </c>
      <c r="I105" s="456"/>
      <c r="J105" s="396"/>
    </row>
    <row r="106" spans="2:10" ht="16.5" thickBot="1">
      <c r="B106" s="419" t="s">
        <v>776</v>
      </c>
      <c r="C106" s="445"/>
      <c r="D106" s="419" t="s">
        <v>777</v>
      </c>
      <c r="E106" s="445"/>
      <c r="G106" s="419" t="s">
        <v>776</v>
      </c>
      <c r="H106" s="445"/>
      <c r="I106" s="419" t="s">
        <v>777</v>
      </c>
      <c r="J106" s="445"/>
    </row>
    <row r="107" spans="2:10" ht="15.75" thickBot="1">
      <c r="B107" s="395">
        <f>5*4</f>
        <v>20</v>
      </c>
      <c r="C107" s="396"/>
      <c r="D107" s="395" t="s">
        <v>1802</v>
      </c>
      <c r="E107" s="396"/>
      <c r="G107" s="395">
        <f>4*45*4</f>
        <v>720</v>
      </c>
      <c r="H107" s="396"/>
      <c r="I107" s="395" t="s">
        <v>1798</v>
      </c>
      <c r="J107" s="396"/>
    </row>
    <row r="108" spans="2:10" ht="15.75" thickBot="1">
      <c r="B108" s="395">
        <f>B107*0.11*0.804</f>
        <v>1.7688000000000001</v>
      </c>
      <c r="C108" s="396"/>
      <c r="D108" s="395" t="s">
        <v>1799</v>
      </c>
      <c r="E108" s="396"/>
      <c r="G108" s="395">
        <f>G107*0.1</f>
        <v>72</v>
      </c>
      <c r="H108" s="396"/>
      <c r="I108" s="395" t="s">
        <v>1799</v>
      </c>
      <c r="J108" s="396"/>
    </row>
    <row r="109" spans="2:10" ht="15.75" thickBot="1">
      <c r="B109" s="395" t="s">
        <v>1808</v>
      </c>
      <c r="C109" s="456"/>
      <c r="D109" s="456"/>
      <c r="E109" s="396"/>
      <c r="G109" s="395" t="s">
        <v>1808</v>
      </c>
      <c r="H109" s="456"/>
      <c r="I109" s="456"/>
      <c r="J109" s="396"/>
    </row>
    <row r="110" spans="2:10" ht="16.5" thickBot="1">
      <c r="B110" s="419" t="s">
        <v>776</v>
      </c>
      <c r="C110" s="445"/>
      <c r="D110" s="419" t="s">
        <v>777</v>
      </c>
      <c r="E110" s="445"/>
      <c r="G110" s="419" t="s">
        <v>776</v>
      </c>
      <c r="H110" s="445"/>
      <c r="I110" s="419" t="s">
        <v>777</v>
      </c>
      <c r="J110" s="445"/>
    </row>
    <row r="111" spans="2:10" ht="15.75" thickBot="1">
      <c r="B111" s="395">
        <v>0.01</v>
      </c>
      <c r="C111" s="396"/>
      <c r="D111" s="395" t="s">
        <v>1810</v>
      </c>
      <c r="E111" s="396"/>
      <c r="G111" s="395">
        <v>0.01</v>
      </c>
      <c r="H111" s="396"/>
      <c r="I111" s="395" t="s">
        <v>1810</v>
      </c>
      <c r="J111" s="396"/>
    </row>
    <row r="112" spans="2:10" ht="15.75" thickBot="1">
      <c r="B112" s="395">
        <f>B100+B104+B108</f>
        <v>964.16880000000015</v>
      </c>
      <c r="C112" s="396"/>
      <c r="D112" s="395" t="s">
        <v>1799</v>
      </c>
      <c r="E112" s="396"/>
      <c r="G112" s="395">
        <f>G108</f>
        <v>72</v>
      </c>
      <c r="H112" s="396"/>
      <c r="I112" s="395" t="s">
        <v>1799</v>
      </c>
      <c r="J112" s="396"/>
    </row>
    <row r="113" spans="2:10" ht="15.75" thickBot="1">
      <c r="B113" s="180">
        <f>B111*B112</f>
        <v>9.641688000000002</v>
      </c>
      <c r="C113" s="181"/>
      <c r="D113" s="182" t="s">
        <v>1811</v>
      </c>
      <c r="E113" s="182" t="s">
        <v>1812</v>
      </c>
      <c r="G113" s="180">
        <f>G111*G112</f>
        <v>0.72</v>
      </c>
      <c r="H113" s="181"/>
      <c r="I113" s="182" t="s">
        <v>1811</v>
      </c>
      <c r="J113" s="182" t="s">
        <v>1812</v>
      </c>
    </row>
    <row r="115" spans="2:10" ht="15.75" thickBot="1"/>
    <row r="116" spans="2:10" ht="16.5" thickBot="1">
      <c r="B116" s="375" t="s">
        <v>1821</v>
      </c>
      <c r="C116" s="376"/>
      <c r="D116" s="376"/>
      <c r="E116" s="394"/>
      <c r="G116" s="375" t="s">
        <v>1822</v>
      </c>
      <c r="H116" s="376"/>
      <c r="I116" s="376"/>
      <c r="J116" s="394"/>
    </row>
    <row r="117" spans="2:10" ht="16.5" thickBot="1">
      <c r="B117" s="144" t="s">
        <v>1795</v>
      </c>
      <c r="C117" s="395" t="s">
        <v>1796</v>
      </c>
      <c r="D117" s="456"/>
      <c r="E117" s="396"/>
      <c r="G117" s="144" t="s">
        <v>1795</v>
      </c>
      <c r="H117" s="395" t="s">
        <v>1823</v>
      </c>
      <c r="I117" s="456"/>
      <c r="J117" s="396"/>
    </row>
    <row r="118" spans="2:10" ht="16.5" thickBot="1">
      <c r="B118" s="419" t="s">
        <v>776</v>
      </c>
      <c r="C118" s="445"/>
      <c r="D118" s="419" t="s">
        <v>777</v>
      </c>
      <c r="E118" s="445"/>
      <c r="G118" s="174" t="s">
        <v>776</v>
      </c>
      <c r="H118" s="175"/>
      <c r="I118" s="174" t="s">
        <v>777</v>
      </c>
      <c r="J118" s="175"/>
    </row>
    <row r="119" spans="2:10" ht="15.75" thickBot="1">
      <c r="B119" s="395">
        <f>300*2</f>
        <v>600</v>
      </c>
      <c r="C119" s="396"/>
      <c r="D119" s="395" t="s">
        <v>1798</v>
      </c>
      <c r="E119" s="396"/>
      <c r="G119" s="395">
        <v>800</v>
      </c>
      <c r="H119" s="396"/>
      <c r="I119" s="395" t="s">
        <v>1798</v>
      </c>
      <c r="J119" s="396"/>
    </row>
    <row r="120" spans="2:10" ht="15.75" thickBot="1">
      <c r="B120" s="395">
        <f>B119*0.1</f>
        <v>60</v>
      </c>
      <c r="C120" s="396"/>
      <c r="D120" s="395" t="s">
        <v>1799</v>
      </c>
      <c r="E120" s="396"/>
      <c r="G120" s="395">
        <f>G119*0.46</f>
        <v>368</v>
      </c>
      <c r="H120" s="396"/>
      <c r="I120" s="395" t="s">
        <v>1799</v>
      </c>
      <c r="J120" s="396"/>
    </row>
    <row r="121" spans="2:10" ht="16.5" thickBot="1">
      <c r="B121" s="144" t="s">
        <v>1795</v>
      </c>
      <c r="C121" s="395" t="s">
        <v>1806</v>
      </c>
      <c r="D121" s="456"/>
      <c r="E121" s="396"/>
      <c r="G121" s="395" t="s">
        <v>1808</v>
      </c>
      <c r="H121" s="456"/>
      <c r="I121" s="456"/>
      <c r="J121" s="396"/>
    </row>
    <row r="122" spans="2:10" ht="16.5" thickBot="1">
      <c r="B122" s="419" t="s">
        <v>776</v>
      </c>
      <c r="C122" s="445"/>
      <c r="D122" s="419" t="s">
        <v>777</v>
      </c>
      <c r="E122" s="445"/>
      <c r="G122" s="419" t="s">
        <v>776</v>
      </c>
      <c r="H122" s="445"/>
      <c r="I122" s="419" t="s">
        <v>777</v>
      </c>
      <c r="J122" s="445"/>
    </row>
    <row r="123" spans="2:10" ht="15.75" thickBot="1">
      <c r="B123" s="395">
        <f>834*2</f>
        <v>1668</v>
      </c>
      <c r="C123" s="396"/>
      <c r="D123" s="395" t="s">
        <v>1798</v>
      </c>
      <c r="E123" s="396"/>
      <c r="G123" s="395">
        <v>0.01</v>
      </c>
      <c r="H123" s="396"/>
      <c r="I123" s="395" t="s">
        <v>1810</v>
      </c>
      <c r="J123" s="396"/>
    </row>
    <row r="124" spans="2:10" ht="15.75" thickBot="1">
      <c r="B124" s="395">
        <f>B123*0.15</f>
        <v>250.2</v>
      </c>
      <c r="C124" s="396"/>
      <c r="D124" s="395" t="s">
        <v>1799</v>
      </c>
      <c r="E124" s="396"/>
      <c r="G124" s="395">
        <f>G120</f>
        <v>368</v>
      </c>
      <c r="H124" s="396"/>
      <c r="I124" s="395" t="s">
        <v>1799</v>
      </c>
      <c r="J124" s="396"/>
    </row>
    <row r="125" spans="2:10" ht="16.5" thickBot="1">
      <c r="B125" s="144" t="s">
        <v>1795</v>
      </c>
      <c r="C125" s="395" t="s">
        <v>1824</v>
      </c>
      <c r="D125" s="456"/>
      <c r="E125" s="396"/>
      <c r="G125" s="180">
        <f>G123*G124</f>
        <v>3.68</v>
      </c>
      <c r="H125" s="181"/>
      <c r="I125" s="182" t="s">
        <v>1811</v>
      </c>
      <c r="J125" s="182" t="s">
        <v>1812</v>
      </c>
    </row>
    <row r="126" spans="2:10" ht="16.5" thickBot="1">
      <c r="B126" s="419" t="s">
        <v>776</v>
      </c>
      <c r="C126" s="445"/>
      <c r="D126" s="419" t="s">
        <v>777</v>
      </c>
      <c r="E126" s="445"/>
    </row>
    <row r="127" spans="2:10" ht="15.75" thickBot="1">
      <c r="B127" s="395">
        <f>500*2</f>
        <v>1000</v>
      </c>
      <c r="C127" s="396"/>
      <c r="D127" s="395" t="s">
        <v>1798</v>
      </c>
      <c r="E127" s="396"/>
    </row>
    <row r="128" spans="2:10" ht="16.5" thickBot="1">
      <c r="B128" s="395">
        <f>B127*0.18</f>
        <v>180</v>
      </c>
      <c r="C128" s="396"/>
      <c r="D128" s="395" t="s">
        <v>1799</v>
      </c>
      <c r="E128" s="396"/>
      <c r="G128" s="375" t="s">
        <v>1825</v>
      </c>
      <c r="H128" s="376"/>
      <c r="I128" s="376"/>
      <c r="J128" s="394"/>
    </row>
    <row r="129" spans="2:10" ht="16.5" thickBot="1">
      <c r="B129" s="144" t="s">
        <v>1795</v>
      </c>
      <c r="C129" s="395" t="s">
        <v>1826</v>
      </c>
      <c r="D129" s="456"/>
      <c r="E129" s="396"/>
      <c r="G129" s="144" t="s">
        <v>1795</v>
      </c>
      <c r="H129" s="395" t="s">
        <v>1827</v>
      </c>
      <c r="I129" s="456"/>
      <c r="J129" s="396"/>
    </row>
    <row r="130" spans="2:10" ht="16.5" thickBot="1">
      <c r="B130" s="419" t="s">
        <v>776</v>
      </c>
      <c r="C130" s="445"/>
      <c r="D130" s="419" t="s">
        <v>777</v>
      </c>
      <c r="E130" s="445"/>
      <c r="G130" s="419" t="s">
        <v>776</v>
      </c>
      <c r="H130" s="445"/>
      <c r="I130" s="419" t="s">
        <v>777</v>
      </c>
      <c r="J130" s="445"/>
    </row>
    <row r="131" spans="2:10" ht="15.75" thickBot="1">
      <c r="B131" s="395">
        <f>834*2</f>
        <v>1668</v>
      </c>
      <c r="C131" s="396"/>
      <c r="D131" s="395" t="s">
        <v>1798</v>
      </c>
      <c r="E131" s="396"/>
      <c r="G131" s="395">
        <f>500*3</f>
        <v>1500</v>
      </c>
      <c r="H131" s="396"/>
      <c r="I131" s="395" t="s">
        <v>1828</v>
      </c>
      <c r="J131" s="396"/>
    </row>
    <row r="132" spans="2:10" ht="15.75" thickBot="1">
      <c r="B132" s="395">
        <f>B131*0.335</f>
        <v>558.78000000000009</v>
      </c>
      <c r="C132" s="396"/>
      <c r="D132" s="395" t="s">
        <v>1799</v>
      </c>
      <c r="E132" s="396"/>
      <c r="G132" s="395">
        <f>G131*0.18</f>
        <v>270</v>
      </c>
      <c r="H132" s="396"/>
      <c r="I132" s="395" t="s">
        <v>1829</v>
      </c>
      <c r="J132" s="396"/>
    </row>
    <row r="133" spans="2:10" ht="16.5" thickBot="1">
      <c r="B133" s="144" t="s">
        <v>1795</v>
      </c>
      <c r="C133" s="395" t="s">
        <v>1830</v>
      </c>
      <c r="D133" s="456"/>
      <c r="E133" s="396"/>
      <c r="G133" s="395" t="s">
        <v>1808</v>
      </c>
      <c r="H133" s="456"/>
      <c r="I133" s="456"/>
      <c r="J133" s="396"/>
    </row>
    <row r="134" spans="2:10" ht="16.5" thickBot="1">
      <c r="B134" s="419" t="s">
        <v>776</v>
      </c>
      <c r="C134" s="445"/>
      <c r="D134" s="419" t="s">
        <v>777</v>
      </c>
      <c r="E134" s="445"/>
      <c r="G134" s="419" t="s">
        <v>776</v>
      </c>
      <c r="H134" s="445"/>
      <c r="I134" s="419" t="s">
        <v>777</v>
      </c>
      <c r="J134" s="445"/>
    </row>
    <row r="135" spans="2:10" ht="15.75" thickBot="1">
      <c r="B135" s="395">
        <f>550*2</f>
        <v>1100</v>
      </c>
      <c r="C135" s="396"/>
      <c r="D135" s="395" t="s">
        <v>1798</v>
      </c>
      <c r="E135" s="396"/>
      <c r="G135" s="395">
        <v>0.01</v>
      </c>
      <c r="H135" s="396"/>
      <c r="I135" s="395" t="s">
        <v>1810</v>
      </c>
      <c r="J135" s="396"/>
    </row>
    <row r="136" spans="2:10" ht="15.75" thickBot="1">
      <c r="B136" s="395">
        <f>B135*0.107</f>
        <v>117.7</v>
      </c>
      <c r="C136" s="396"/>
      <c r="D136" s="395" t="s">
        <v>1799</v>
      </c>
      <c r="E136" s="396"/>
      <c r="G136" s="395">
        <f>G132</f>
        <v>270</v>
      </c>
      <c r="H136" s="396"/>
      <c r="I136" s="395" t="s">
        <v>1829</v>
      </c>
      <c r="J136" s="396"/>
    </row>
    <row r="137" spans="2:10" ht="15.75" thickBot="1">
      <c r="B137" s="395" t="s">
        <v>1808</v>
      </c>
      <c r="C137" s="456"/>
      <c r="D137" s="456"/>
      <c r="E137" s="396"/>
      <c r="G137" s="180">
        <f>G135*G136</f>
        <v>2.7</v>
      </c>
      <c r="H137" s="181"/>
      <c r="I137" s="182" t="s">
        <v>1811</v>
      </c>
      <c r="J137" s="182" t="s">
        <v>1812</v>
      </c>
    </row>
    <row r="138" spans="2:10" ht="16.5" thickBot="1">
      <c r="B138" s="419" t="s">
        <v>776</v>
      </c>
      <c r="C138" s="445"/>
      <c r="D138" s="419" t="s">
        <v>777</v>
      </c>
      <c r="E138" s="445"/>
    </row>
    <row r="139" spans="2:10" ht="15.75" thickBot="1">
      <c r="B139" s="395">
        <v>0.01</v>
      </c>
      <c r="C139" s="396"/>
      <c r="D139" s="395" t="s">
        <v>1810</v>
      </c>
      <c r="E139" s="396"/>
    </row>
    <row r="140" spans="2:10" ht="15.75" thickBot="1">
      <c r="B140" s="395">
        <f>B120+B124+B128+B132+B136</f>
        <v>1166.68</v>
      </c>
      <c r="C140" s="396"/>
      <c r="D140" s="395" t="s">
        <v>1799</v>
      </c>
      <c r="E140" s="396"/>
    </row>
    <row r="141" spans="2:10" ht="15.75" thickBot="1">
      <c r="B141" s="180">
        <f>B139*B140</f>
        <v>11.6668</v>
      </c>
      <c r="C141" s="181"/>
      <c r="D141" s="182" t="s">
        <v>1811</v>
      </c>
      <c r="E141" s="182" t="s">
        <v>1812</v>
      </c>
    </row>
    <row r="145" spans="2:6" ht="15.75">
      <c r="B145" s="368" t="s">
        <v>1786</v>
      </c>
      <c r="C145" s="368"/>
      <c r="D145" s="368"/>
      <c r="E145" s="368"/>
      <c r="F145" s="368"/>
    </row>
    <row r="147" spans="2:6" ht="15.75" thickBot="1"/>
    <row r="148" spans="2:6" ht="16.5" thickBot="1">
      <c r="B148" s="375" t="s">
        <v>1831</v>
      </c>
      <c r="C148" s="376"/>
      <c r="D148" s="376"/>
      <c r="E148" s="394"/>
    </row>
    <row r="149" spans="2:6" ht="15.75" thickBot="1">
      <c r="B149" s="97">
        <v>6.7500000000000004E-2</v>
      </c>
      <c r="C149" s="98"/>
      <c r="D149" s="78" t="s">
        <v>1811</v>
      </c>
      <c r="E149" s="78" t="s">
        <v>1812</v>
      </c>
    </row>
    <row r="150" spans="2:6" ht="15.75" thickBot="1"/>
    <row r="151" spans="2:6" ht="16.5" thickBot="1">
      <c r="B151" s="375" t="s">
        <v>1832</v>
      </c>
      <c r="C151" s="376"/>
      <c r="D151" s="376"/>
      <c r="E151" s="394"/>
    </row>
    <row r="152" spans="2:6" ht="15.75" thickBot="1">
      <c r="B152" s="97">
        <v>0.10125000000000001</v>
      </c>
      <c r="C152" s="98"/>
      <c r="D152" s="78" t="s">
        <v>1811</v>
      </c>
      <c r="E152" s="78" t="s">
        <v>1812</v>
      </c>
    </row>
    <row r="153" spans="2:6" ht="15.75" thickBot="1"/>
    <row r="154" spans="2:6" ht="16.5" thickBot="1">
      <c r="B154" s="375" t="s">
        <v>1833</v>
      </c>
      <c r="C154" s="376"/>
      <c r="D154" s="376"/>
      <c r="E154" s="394"/>
    </row>
    <row r="155" spans="2:6" ht="15.75" thickBot="1">
      <c r="B155" s="97">
        <v>19.730763</v>
      </c>
      <c r="C155" s="98"/>
      <c r="D155" s="78" t="s">
        <v>1811</v>
      </c>
      <c r="E155" s="78" t="s">
        <v>1812</v>
      </c>
    </row>
    <row r="156" spans="2:6" ht="15.75" thickBot="1"/>
    <row r="157" spans="2:6" ht="16.5" thickBot="1">
      <c r="B157" s="375" t="s">
        <v>1834</v>
      </c>
      <c r="C157" s="376"/>
      <c r="D157" s="376"/>
      <c r="E157" s="394"/>
    </row>
    <row r="158" spans="2:6" ht="15.75" thickBot="1">
      <c r="B158" s="97">
        <v>3.375</v>
      </c>
      <c r="C158" s="98"/>
      <c r="D158" s="78" t="s">
        <v>1811</v>
      </c>
      <c r="E158" s="78" t="s">
        <v>1812</v>
      </c>
    </row>
    <row r="162" spans="2:12" ht="15.75">
      <c r="B162" s="381" t="s">
        <v>1835</v>
      </c>
      <c r="C162" s="381"/>
      <c r="D162" s="381"/>
      <c r="E162" s="381"/>
      <c r="F162" s="381"/>
      <c r="G162" s="381"/>
      <c r="H162" s="381"/>
      <c r="I162" s="381"/>
      <c r="J162" s="381"/>
      <c r="K162" s="381"/>
      <c r="L162" s="381"/>
    </row>
    <row r="164" spans="2:12" ht="15.75">
      <c r="B164" s="368" t="s">
        <v>1836</v>
      </c>
      <c r="C164" s="368"/>
      <c r="D164" s="368"/>
      <c r="E164" s="368"/>
      <c r="F164" s="368"/>
    </row>
    <row r="166" spans="2:12" ht="15.75" thickBot="1"/>
    <row r="167" spans="2:12" ht="16.5" thickBot="1">
      <c r="B167" s="375" t="s">
        <v>1837</v>
      </c>
      <c r="C167" s="376"/>
      <c r="D167" s="376"/>
      <c r="E167" s="394"/>
      <c r="G167" s="375" t="s">
        <v>1838</v>
      </c>
      <c r="H167" s="376"/>
      <c r="I167" s="376"/>
      <c r="J167" s="394"/>
    </row>
    <row r="168" spans="2:12" ht="16.5" thickBot="1">
      <c r="B168" s="144" t="s">
        <v>1795</v>
      </c>
      <c r="C168" s="395" t="s">
        <v>1839</v>
      </c>
      <c r="D168" s="456"/>
      <c r="E168" s="396"/>
      <c r="G168" s="144" t="s">
        <v>1795</v>
      </c>
      <c r="H168" s="395" t="s">
        <v>1839</v>
      </c>
      <c r="I168" s="456"/>
      <c r="J168" s="396"/>
    </row>
    <row r="169" spans="2:12" ht="16.5" thickBot="1">
      <c r="B169" s="419" t="s">
        <v>776</v>
      </c>
      <c r="C169" s="445"/>
      <c r="D169" s="419" t="s">
        <v>777</v>
      </c>
      <c r="E169" s="445"/>
      <c r="G169" s="419" t="s">
        <v>776</v>
      </c>
      <c r="H169" s="445"/>
      <c r="I169" s="419" t="s">
        <v>777</v>
      </c>
      <c r="J169" s="445"/>
    </row>
    <row r="170" spans="2:12" ht="15.75" thickBot="1">
      <c r="B170" s="395">
        <f>15*100/1000</f>
        <v>1.5</v>
      </c>
      <c r="C170" s="396"/>
      <c r="D170" s="395" t="s">
        <v>1840</v>
      </c>
      <c r="E170" s="396"/>
      <c r="G170" s="395">
        <f>1000/1000</f>
        <v>1</v>
      </c>
      <c r="H170" s="396"/>
      <c r="I170" s="395" t="s">
        <v>1840</v>
      </c>
      <c r="J170" s="396"/>
    </row>
    <row r="171" spans="2:12" ht="15.75" thickBot="1">
      <c r="B171" s="183">
        <f>B170*C11</f>
        <v>1.3392857142857142E-2</v>
      </c>
      <c r="C171" s="184"/>
      <c r="D171" s="395" t="s">
        <v>1345</v>
      </c>
      <c r="E171" s="396"/>
      <c r="G171" s="185">
        <f>G170*C15</f>
        <v>1.7857142857142854E-3</v>
      </c>
      <c r="H171" s="184"/>
      <c r="I171" s="395" t="s">
        <v>1345</v>
      </c>
      <c r="J171" s="396"/>
    </row>
    <row r="173" spans="2:12" ht="15.75" thickBot="1"/>
    <row r="174" spans="2:12" ht="16.5" thickBot="1">
      <c r="B174" s="375" t="s">
        <v>1841</v>
      </c>
      <c r="C174" s="376"/>
      <c r="D174" s="376"/>
      <c r="E174" s="394"/>
      <c r="G174" s="375" t="s">
        <v>1842</v>
      </c>
      <c r="H174" s="376"/>
      <c r="I174" s="376"/>
      <c r="J174" s="394"/>
    </row>
    <row r="175" spans="2:12" ht="16.5" thickBot="1">
      <c r="B175" s="144" t="s">
        <v>1795</v>
      </c>
      <c r="C175" s="395" t="s">
        <v>1839</v>
      </c>
      <c r="D175" s="456"/>
      <c r="E175" s="396"/>
      <c r="G175" s="144" t="s">
        <v>1795</v>
      </c>
      <c r="H175" s="395" t="s">
        <v>1839</v>
      </c>
      <c r="I175" s="456"/>
      <c r="J175" s="396"/>
    </row>
    <row r="176" spans="2:12" ht="16.5" thickBot="1">
      <c r="B176" s="419" t="s">
        <v>776</v>
      </c>
      <c r="C176" s="445"/>
      <c r="D176" s="419" t="s">
        <v>777</v>
      </c>
      <c r="E176" s="445"/>
      <c r="G176" s="419" t="s">
        <v>776</v>
      </c>
      <c r="H176" s="445"/>
      <c r="I176" s="419" t="s">
        <v>777</v>
      </c>
      <c r="J176" s="445"/>
    </row>
    <row r="177" spans="2:10" ht="15.75" thickBot="1">
      <c r="B177" s="395">
        <v>0.25</v>
      </c>
      <c r="C177" s="396"/>
      <c r="D177" s="395" t="s">
        <v>1840</v>
      </c>
      <c r="E177" s="396"/>
      <c r="G177" s="395">
        <f>40.82/1000</f>
        <v>4.0820000000000002E-2</v>
      </c>
      <c r="H177" s="396"/>
      <c r="I177" s="395" t="s">
        <v>1840</v>
      </c>
      <c r="J177" s="396"/>
    </row>
    <row r="178" spans="2:10" ht="15.75" thickBot="1">
      <c r="B178" s="183">
        <f>B177*C17</f>
        <v>0.22417091836734687</v>
      </c>
      <c r="C178" s="184"/>
      <c r="D178" s="395" t="s">
        <v>1345</v>
      </c>
      <c r="E178" s="396"/>
      <c r="G178" s="183">
        <f>G177*C19</f>
        <v>6.6644897959183668E-3</v>
      </c>
      <c r="H178" s="184"/>
      <c r="I178" s="395" t="s">
        <v>1345</v>
      </c>
      <c r="J178" s="396"/>
    </row>
    <row r="180" spans="2:10" ht="15.75" thickBot="1"/>
    <row r="181" spans="2:10" ht="16.5" thickBot="1">
      <c r="B181" s="375" t="s">
        <v>1843</v>
      </c>
      <c r="C181" s="376"/>
      <c r="D181" s="376"/>
      <c r="E181" s="394"/>
      <c r="G181" s="375" t="s">
        <v>1844</v>
      </c>
      <c r="H181" s="376"/>
      <c r="I181" s="376"/>
      <c r="J181" s="394"/>
    </row>
    <row r="182" spans="2:10" ht="16.5" thickBot="1">
      <c r="B182" s="144" t="s">
        <v>1795</v>
      </c>
      <c r="C182" s="395" t="s">
        <v>1839</v>
      </c>
      <c r="D182" s="456"/>
      <c r="E182" s="396"/>
      <c r="G182" s="144" t="s">
        <v>1795</v>
      </c>
      <c r="H182" s="395" t="s">
        <v>1845</v>
      </c>
      <c r="I182" s="456"/>
      <c r="J182" s="396"/>
    </row>
    <row r="183" spans="2:10" ht="16.5" thickBot="1">
      <c r="B183" s="419" t="s">
        <v>776</v>
      </c>
      <c r="C183" s="445"/>
      <c r="D183" s="419" t="s">
        <v>777</v>
      </c>
      <c r="E183" s="445"/>
      <c r="G183" s="419" t="s">
        <v>776</v>
      </c>
      <c r="H183" s="445"/>
      <c r="I183" s="419" t="s">
        <v>777</v>
      </c>
      <c r="J183" s="445"/>
    </row>
    <row r="184" spans="2:10" ht="15.75" thickBot="1">
      <c r="B184" s="395">
        <f>15*100/1000</f>
        <v>1.5</v>
      </c>
      <c r="C184" s="396"/>
      <c r="D184" s="395" t="s">
        <v>1840</v>
      </c>
      <c r="E184" s="396"/>
      <c r="G184" s="395">
        <f>800/1000</f>
        <v>0.8</v>
      </c>
      <c r="H184" s="396"/>
      <c r="I184" s="395" t="s">
        <v>1840</v>
      </c>
      <c r="J184" s="396"/>
    </row>
    <row r="185" spans="2:10" ht="15.75" thickBot="1">
      <c r="B185" s="183">
        <f>B184*C20</f>
        <v>0.11249999999999998</v>
      </c>
      <c r="C185" s="184"/>
      <c r="D185" s="395" t="s">
        <v>1345</v>
      </c>
      <c r="E185" s="396"/>
      <c r="G185" s="183">
        <f>G184*C26</f>
        <v>0.13061224489795917</v>
      </c>
      <c r="H185" s="184"/>
      <c r="I185" s="395" t="s">
        <v>1345</v>
      </c>
      <c r="J185" s="396"/>
    </row>
    <row r="187" spans="2:10" ht="15.75" thickBot="1"/>
    <row r="188" spans="2:10" ht="16.5" thickBot="1">
      <c r="B188" s="375" t="s">
        <v>1846</v>
      </c>
      <c r="C188" s="376"/>
      <c r="D188" s="376"/>
      <c r="E188" s="394"/>
    </row>
    <row r="189" spans="2:10" ht="16.5" thickBot="1">
      <c r="B189" s="144" t="s">
        <v>1795</v>
      </c>
      <c r="C189" s="395" t="s">
        <v>1839</v>
      </c>
      <c r="D189" s="456"/>
      <c r="E189" s="396"/>
    </row>
    <row r="190" spans="2:10" ht="16.5" thickBot="1">
      <c r="B190" s="419" t="s">
        <v>776</v>
      </c>
      <c r="C190" s="445"/>
      <c r="D190" s="419" t="s">
        <v>777</v>
      </c>
      <c r="E190" s="445"/>
    </row>
    <row r="191" spans="2:10" ht="15.75" thickBot="1">
      <c r="B191" s="395">
        <f>18*50/1000</f>
        <v>0.9</v>
      </c>
      <c r="C191" s="396"/>
      <c r="D191" s="395" t="s">
        <v>1840</v>
      </c>
      <c r="E191" s="396"/>
    </row>
    <row r="192" spans="2:10" ht="15.75" thickBot="1">
      <c r="B192" s="183">
        <f>B191*C28</f>
        <v>3.6723214285714283</v>
      </c>
      <c r="C192" s="184"/>
      <c r="D192" s="395" t="s">
        <v>1345</v>
      </c>
      <c r="E192" s="396"/>
    </row>
    <row r="197" spans="2:12" ht="15.75">
      <c r="B197" s="381" t="s">
        <v>1847</v>
      </c>
      <c r="C197" s="381"/>
      <c r="D197" s="381"/>
      <c r="E197" s="381"/>
      <c r="F197" s="381"/>
      <c r="G197" s="381"/>
      <c r="H197" s="381"/>
      <c r="I197" s="381"/>
      <c r="J197" s="381"/>
      <c r="K197" s="381"/>
      <c r="L197" s="381"/>
    </row>
    <row r="199" spans="2:12" ht="16.5" customHeight="1">
      <c r="B199" s="368" t="s">
        <v>1848</v>
      </c>
      <c r="C199" s="368"/>
      <c r="D199" s="368"/>
      <c r="E199" s="368"/>
    </row>
    <row r="200" spans="2:12" ht="15.75" thickBot="1"/>
    <row r="201" spans="2:12" ht="36.75" customHeight="1" thickBot="1">
      <c r="B201" s="144" t="s">
        <v>1849</v>
      </c>
      <c r="C201" s="96">
        <v>245</v>
      </c>
    </row>
    <row r="202" spans="2:12" ht="15.75" thickBot="1"/>
    <row r="203" spans="2:12" ht="33.75" customHeight="1" thickBot="1">
      <c r="B203" s="375" t="s">
        <v>1850</v>
      </c>
      <c r="C203" s="394"/>
    </row>
    <row r="204" spans="2:12" ht="31.5" customHeight="1" thickBot="1">
      <c r="B204" s="173" t="s">
        <v>1851</v>
      </c>
      <c r="C204" s="173" t="s">
        <v>1852</v>
      </c>
    </row>
    <row r="205" spans="2:12" ht="15.75" thickBot="1">
      <c r="B205" s="96" t="s">
        <v>1853</v>
      </c>
      <c r="C205" s="177">
        <f>$C$201*0.1*0.98</f>
        <v>24.009999999999998</v>
      </c>
    </row>
    <row r="206" spans="2:12" ht="15.75" thickBot="1">
      <c r="B206" s="96" t="s">
        <v>1854</v>
      </c>
      <c r="C206" s="177">
        <f>C201*0.9*0.98</f>
        <v>216.09</v>
      </c>
    </row>
    <row r="207" spans="2:12" ht="15.75" thickBot="1">
      <c r="B207" s="96" t="s">
        <v>1855</v>
      </c>
      <c r="C207" s="177">
        <f>C201*0.9*0.02</f>
        <v>4.41</v>
      </c>
    </row>
    <row r="208" spans="2:12" ht="15.75" thickBot="1">
      <c r="B208" s="96" t="s">
        <v>893</v>
      </c>
      <c r="C208" s="166">
        <f>SUM(C205:C207)</f>
        <v>244.51</v>
      </c>
    </row>
    <row r="210" spans="2:12" ht="15.75" thickBot="1"/>
    <row r="211" spans="2:12" ht="33" customHeight="1" thickBot="1">
      <c r="B211" s="144" t="s">
        <v>1856</v>
      </c>
      <c r="C211" s="177">
        <v>43</v>
      </c>
    </row>
    <row r="212" spans="2:12" ht="33" customHeight="1" thickBot="1">
      <c r="B212" s="144" t="s">
        <v>1857</v>
      </c>
      <c r="C212" s="177">
        <v>30502</v>
      </c>
    </row>
    <row r="217" spans="2:12" ht="15.75">
      <c r="B217" s="381" t="s">
        <v>1858</v>
      </c>
      <c r="C217" s="381"/>
      <c r="D217" s="381"/>
      <c r="E217" s="381"/>
      <c r="F217" s="381"/>
      <c r="G217" s="381"/>
      <c r="H217" s="381"/>
      <c r="I217" s="381"/>
      <c r="J217" s="381"/>
      <c r="K217" s="381"/>
      <c r="L217" s="381"/>
    </row>
    <row r="219" spans="2:12" ht="15.75">
      <c r="B219" s="368" t="s">
        <v>1859</v>
      </c>
      <c r="C219" s="368"/>
      <c r="D219" s="368"/>
      <c r="E219" s="368"/>
    </row>
    <row r="220" spans="2:12" ht="15.75" thickBot="1"/>
    <row r="221" spans="2:12" ht="16.5" thickBot="1">
      <c r="B221" s="375" t="s">
        <v>1860</v>
      </c>
      <c r="C221" s="394"/>
      <c r="D221" s="375" t="s">
        <v>1861</v>
      </c>
      <c r="E221" s="376"/>
      <c r="F221" s="376"/>
      <c r="G221" s="376"/>
      <c r="H221" s="376"/>
      <c r="I221" s="394"/>
    </row>
    <row r="222" spans="2:12" ht="16.5" thickBot="1">
      <c r="B222" s="400" t="s">
        <v>1862</v>
      </c>
      <c r="C222" s="400" t="s">
        <v>1863</v>
      </c>
      <c r="D222" s="400" t="s">
        <v>1864</v>
      </c>
      <c r="E222" s="453" t="s">
        <v>1865</v>
      </c>
      <c r="F222" s="454"/>
      <c r="G222" s="375" t="s">
        <v>1866</v>
      </c>
      <c r="H222" s="376"/>
      <c r="I222" s="394"/>
    </row>
    <row r="223" spans="2:12" ht="16.5" thickBot="1">
      <c r="B223" s="401"/>
      <c r="C223" s="401"/>
      <c r="D223" s="401"/>
      <c r="E223" s="377"/>
      <c r="F223" s="455"/>
      <c r="G223" s="77" t="s">
        <v>259</v>
      </c>
      <c r="H223" s="77" t="s">
        <v>261</v>
      </c>
      <c r="I223" s="77" t="s">
        <v>1867</v>
      </c>
    </row>
    <row r="224" spans="2:12" ht="16.5" thickBot="1">
      <c r="B224" s="144">
        <v>1</v>
      </c>
      <c r="C224" s="96">
        <v>1</v>
      </c>
      <c r="D224" s="96">
        <f t="shared" ref="D224:D258" si="0">C224/10000</f>
        <v>1E-4</v>
      </c>
      <c r="E224" s="402">
        <v>5.2</v>
      </c>
      <c r="F224" s="404"/>
      <c r="G224" s="448">
        <f>'1.3. Factores de emisión'!E142</f>
        <v>2.3E-3</v>
      </c>
      <c r="H224" s="448">
        <f>'1.3. Factores de emisión'!G142</f>
        <v>2.0999999999999998E-4</v>
      </c>
      <c r="I224" s="391">
        <f>'1.3. Factores de emisión'!F142</f>
        <v>1.613</v>
      </c>
    </row>
    <row r="225" spans="2:9" ht="16.5" thickBot="1">
      <c r="B225" s="144">
        <v>2</v>
      </c>
      <c r="C225" s="96">
        <v>100</v>
      </c>
      <c r="D225" s="96">
        <f t="shared" si="0"/>
        <v>0.01</v>
      </c>
      <c r="E225" s="446"/>
      <c r="F225" s="447"/>
      <c r="G225" s="449"/>
      <c r="H225" s="449"/>
      <c r="I225" s="392"/>
    </row>
    <row r="226" spans="2:9" ht="16.5" thickBot="1">
      <c r="B226" s="144">
        <v>3</v>
      </c>
      <c r="C226" s="96">
        <v>80</v>
      </c>
      <c r="D226" s="96">
        <f t="shared" si="0"/>
        <v>8.0000000000000002E-3</v>
      </c>
      <c r="E226" s="446"/>
      <c r="F226" s="447"/>
      <c r="G226" s="449"/>
      <c r="H226" s="449"/>
      <c r="I226" s="392"/>
    </row>
    <row r="227" spans="2:9" ht="16.5" thickBot="1">
      <c r="B227" s="144">
        <v>4</v>
      </c>
      <c r="C227" s="96">
        <v>10</v>
      </c>
      <c r="D227" s="96">
        <f t="shared" si="0"/>
        <v>1E-3</v>
      </c>
      <c r="E227" s="446"/>
      <c r="F227" s="447"/>
      <c r="G227" s="449"/>
      <c r="H227" s="449"/>
      <c r="I227" s="392"/>
    </row>
    <row r="228" spans="2:9" ht="16.5" thickBot="1">
      <c r="B228" s="144">
        <v>5</v>
      </c>
      <c r="C228" s="96">
        <v>1000</v>
      </c>
      <c r="D228" s="96">
        <f t="shared" si="0"/>
        <v>0.1</v>
      </c>
      <c r="E228" s="446"/>
      <c r="F228" s="447"/>
      <c r="G228" s="449"/>
      <c r="H228" s="449"/>
      <c r="I228" s="392"/>
    </row>
    <row r="229" spans="2:9" ht="16.5" thickBot="1">
      <c r="B229" s="144">
        <v>6</v>
      </c>
      <c r="C229" s="96">
        <v>500</v>
      </c>
      <c r="D229" s="96">
        <f t="shared" si="0"/>
        <v>0.05</v>
      </c>
      <c r="E229" s="446"/>
      <c r="F229" s="447"/>
      <c r="G229" s="449"/>
      <c r="H229" s="449"/>
      <c r="I229" s="392"/>
    </row>
    <row r="230" spans="2:9" ht="16.5" thickBot="1">
      <c r="B230" s="144">
        <v>7</v>
      </c>
      <c r="C230" s="96">
        <v>3</v>
      </c>
      <c r="D230" s="96">
        <f t="shared" si="0"/>
        <v>2.9999999999999997E-4</v>
      </c>
      <c r="E230" s="446"/>
      <c r="F230" s="447"/>
      <c r="G230" s="449"/>
      <c r="H230" s="449"/>
      <c r="I230" s="392"/>
    </row>
    <row r="231" spans="2:9" ht="16.5" thickBot="1">
      <c r="B231" s="144">
        <v>8</v>
      </c>
      <c r="C231" s="96">
        <v>3</v>
      </c>
      <c r="D231" s="96">
        <f t="shared" si="0"/>
        <v>2.9999999999999997E-4</v>
      </c>
      <c r="E231" s="446"/>
      <c r="F231" s="447"/>
      <c r="G231" s="449"/>
      <c r="H231" s="449"/>
      <c r="I231" s="392"/>
    </row>
    <row r="232" spans="2:9" ht="16.5" thickBot="1">
      <c r="B232" s="144">
        <v>9</v>
      </c>
      <c r="C232" s="96">
        <v>400</v>
      </c>
      <c r="D232" s="96">
        <f t="shared" si="0"/>
        <v>0.04</v>
      </c>
      <c r="E232" s="446"/>
      <c r="F232" s="447"/>
      <c r="G232" s="449"/>
      <c r="H232" s="449"/>
      <c r="I232" s="392"/>
    </row>
    <row r="233" spans="2:9" ht="16.5" thickBot="1">
      <c r="B233" s="144">
        <v>10</v>
      </c>
      <c r="C233" s="96">
        <v>600</v>
      </c>
      <c r="D233" s="96">
        <f t="shared" si="0"/>
        <v>0.06</v>
      </c>
      <c r="E233" s="446"/>
      <c r="F233" s="447"/>
      <c r="G233" s="449"/>
      <c r="H233" s="449"/>
      <c r="I233" s="392"/>
    </row>
    <row r="234" spans="2:9" ht="16.5" thickBot="1">
      <c r="B234" s="144">
        <v>11</v>
      </c>
      <c r="C234" s="96">
        <v>400</v>
      </c>
      <c r="D234" s="96">
        <f t="shared" si="0"/>
        <v>0.04</v>
      </c>
      <c r="E234" s="446"/>
      <c r="F234" s="447"/>
      <c r="G234" s="449"/>
      <c r="H234" s="449"/>
      <c r="I234" s="392"/>
    </row>
    <row r="235" spans="2:9" ht="16.5" thickBot="1">
      <c r="B235" s="144">
        <v>12</v>
      </c>
      <c r="C235" s="96">
        <v>300</v>
      </c>
      <c r="D235" s="96">
        <f t="shared" si="0"/>
        <v>0.03</v>
      </c>
      <c r="E235" s="446"/>
      <c r="F235" s="447"/>
      <c r="G235" s="449"/>
      <c r="H235" s="449"/>
      <c r="I235" s="392"/>
    </row>
    <row r="236" spans="2:9" ht="16.5" thickBot="1">
      <c r="B236" s="144">
        <v>13</v>
      </c>
      <c r="C236" s="96">
        <v>400</v>
      </c>
      <c r="D236" s="96">
        <f t="shared" si="0"/>
        <v>0.04</v>
      </c>
      <c r="E236" s="446"/>
      <c r="F236" s="447"/>
      <c r="G236" s="449"/>
      <c r="H236" s="449"/>
      <c r="I236" s="392"/>
    </row>
    <row r="237" spans="2:9" ht="16.5" thickBot="1">
      <c r="B237" s="144">
        <v>14</v>
      </c>
      <c r="C237" s="96">
        <v>2</v>
      </c>
      <c r="D237" s="96">
        <f t="shared" si="0"/>
        <v>2.0000000000000001E-4</v>
      </c>
      <c r="E237" s="446"/>
      <c r="F237" s="447"/>
      <c r="G237" s="449"/>
      <c r="H237" s="449"/>
      <c r="I237" s="392"/>
    </row>
    <row r="238" spans="2:9" ht="16.5" thickBot="1">
      <c r="B238" s="144">
        <v>15</v>
      </c>
      <c r="C238" s="96">
        <v>100</v>
      </c>
      <c r="D238" s="96">
        <f t="shared" si="0"/>
        <v>0.01</v>
      </c>
      <c r="E238" s="446"/>
      <c r="F238" s="447"/>
      <c r="G238" s="449"/>
      <c r="H238" s="449"/>
      <c r="I238" s="392"/>
    </row>
    <row r="239" spans="2:9" ht="16.5" thickBot="1">
      <c r="B239" s="144">
        <v>16</v>
      </c>
      <c r="C239" s="96">
        <v>50</v>
      </c>
      <c r="D239" s="96">
        <f t="shared" si="0"/>
        <v>5.0000000000000001E-3</v>
      </c>
      <c r="E239" s="446"/>
      <c r="F239" s="447"/>
      <c r="G239" s="449"/>
      <c r="H239" s="449"/>
      <c r="I239" s="392"/>
    </row>
    <row r="240" spans="2:9" ht="16.5" thickBot="1">
      <c r="B240" s="144">
        <v>17</v>
      </c>
      <c r="C240" s="96">
        <v>100</v>
      </c>
      <c r="D240" s="96">
        <f t="shared" si="0"/>
        <v>0.01</v>
      </c>
      <c r="E240" s="446"/>
      <c r="F240" s="447"/>
      <c r="G240" s="449"/>
      <c r="H240" s="449"/>
      <c r="I240" s="392"/>
    </row>
    <row r="241" spans="2:9" ht="16.5" thickBot="1">
      <c r="B241" s="144">
        <v>18</v>
      </c>
      <c r="C241" s="96">
        <v>50</v>
      </c>
      <c r="D241" s="96">
        <f t="shared" si="0"/>
        <v>5.0000000000000001E-3</v>
      </c>
      <c r="E241" s="446"/>
      <c r="F241" s="447"/>
      <c r="G241" s="449"/>
      <c r="H241" s="449"/>
      <c r="I241" s="392"/>
    </row>
    <row r="242" spans="2:9" ht="16.5" thickBot="1">
      <c r="B242" s="144">
        <v>19</v>
      </c>
      <c r="C242" s="96">
        <v>200</v>
      </c>
      <c r="D242" s="96">
        <f t="shared" si="0"/>
        <v>0.02</v>
      </c>
      <c r="E242" s="446"/>
      <c r="F242" s="447"/>
      <c r="G242" s="449"/>
      <c r="H242" s="449"/>
      <c r="I242" s="392"/>
    </row>
    <row r="243" spans="2:9" ht="16.5" thickBot="1">
      <c r="B243" s="144">
        <v>20</v>
      </c>
      <c r="C243" s="96">
        <v>3</v>
      </c>
      <c r="D243" s="96">
        <f t="shared" si="0"/>
        <v>2.9999999999999997E-4</v>
      </c>
      <c r="E243" s="446"/>
      <c r="F243" s="447"/>
      <c r="G243" s="449"/>
      <c r="H243" s="449"/>
      <c r="I243" s="392"/>
    </row>
    <row r="244" spans="2:9" ht="16.5" thickBot="1">
      <c r="B244" s="144">
        <v>21</v>
      </c>
      <c r="C244" s="96">
        <v>30</v>
      </c>
      <c r="D244" s="96">
        <f t="shared" si="0"/>
        <v>3.0000000000000001E-3</v>
      </c>
      <c r="E244" s="446"/>
      <c r="F244" s="447"/>
      <c r="G244" s="449"/>
      <c r="H244" s="449"/>
      <c r="I244" s="392"/>
    </row>
    <row r="245" spans="2:9" ht="16.5" thickBot="1">
      <c r="B245" s="144">
        <v>22</v>
      </c>
      <c r="C245" s="96">
        <v>80</v>
      </c>
      <c r="D245" s="96">
        <f t="shared" si="0"/>
        <v>8.0000000000000002E-3</v>
      </c>
      <c r="E245" s="446"/>
      <c r="F245" s="447"/>
      <c r="G245" s="449"/>
      <c r="H245" s="449"/>
      <c r="I245" s="392"/>
    </row>
    <row r="246" spans="2:9" ht="16.5" thickBot="1">
      <c r="B246" s="144">
        <v>23</v>
      </c>
      <c r="C246" s="96">
        <v>20</v>
      </c>
      <c r="D246" s="96">
        <f t="shared" si="0"/>
        <v>2E-3</v>
      </c>
      <c r="E246" s="446"/>
      <c r="F246" s="447"/>
      <c r="G246" s="449"/>
      <c r="H246" s="449"/>
      <c r="I246" s="392"/>
    </row>
    <row r="247" spans="2:9" ht="16.5" thickBot="1">
      <c r="B247" s="144">
        <v>24</v>
      </c>
      <c r="C247" s="96">
        <v>50</v>
      </c>
      <c r="D247" s="96">
        <f t="shared" si="0"/>
        <v>5.0000000000000001E-3</v>
      </c>
      <c r="E247" s="446"/>
      <c r="F247" s="447"/>
      <c r="G247" s="449"/>
      <c r="H247" s="449"/>
      <c r="I247" s="392"/>
    </row>
    <row r="248" spans="2:9" ht="16.5" thickBot="1">
      <c r="B248" s="144">
        <v>25</v>
      </c>
      <c r="C248" s="96">
        <v>200</v>
      </c>
      <c r="D248" s="96">
        <f t="shared" si="0"/>
        <v>0.02</v>
      </c>
      <c r="E248" s="446"/>
      <c r="F248" s="447"/>
      <c r="G248" s="449"/>
      <c r="H248" s="449"/>
      <c r="I248" s="392"/>
    </row>
    <row r="249" spans="2:9" ht="16.5" thickBot="1">
      <c r="B249" s="144">
        <v>26</v>
      </c>
      <c r="C249" s="96">
        <v>20</v>
      </c>
      <c r="D249" s="96">
        <f t="shared" si="0"/>
        <v>2E-3</v>
      </c>
      <c r="E249" s="446"/>
      <c r="F249" s="447"/>
      <c r="G249" s="449"/>
      <c r="H249" s="449"/>
      <c r="I249" s="392"/>
    </row>
    <row r="250" spans="2:9" ht="16.5" thickBot="1">
      <c r="B250" s="144">
        <v>27</v>
      </c>
      <c r="C250" s="96">
        <v>10</v>
      </c>
      <c r="D250" s="96">
        <f t="shared" si="0"/>
        <v>1E-3</v>
      </c>
      <c r="E250" s="446"/>
      <c r="F250" s="447"/>
      <c r="G250" s="449"/>
      <c r="H250" s="449"/>
      <c r="I250" s="392"/>
    </row>
    <row r="251" spans="2:9" ht="16.5" thickBot="1">
      <c r="B251" s="144">
        <v>28</v>
      </c>
      <c r="C251" s="96">
        <v>30</v>
      </c>
      <c r="D251" s="96">
        <f t="shared" si="0"/>
        <v>3.0000000000000001E-3</v>
      </c>
      <c r="E251" s="446"/>
      <c r="F251" s="447"/>
      <c r="G251" s="449"/>
      <c r="H251" s="449"/>
      <c r="I251" s="392"/>
    </row>
    <row r="252" spans="2:9" ht="16.5" thickBot="1">
      <c r="B252" s="144">
        <v>29</v>
      </c>
      <c r="C252" s="96">
        <v>20</v>
      </c>
      <c r="D252" s="96">
        <f t="shared" si="0"/>
        <v>2E-3</v>
      </c>
      <c r="E252" s="446"/>
      <c r="F252" s="447"/>
      <c r="G252" s="449"/>
      <c r="H252" s="449"/>
      <c r="I252" s="392"/>
    </row>
    <row r="253" spans="2:9" ht="16.5" thickBot="1">
      <c r="B253" s="144">
        <v>30</v>
      </c>
      <c r="C253" s="96">
        <v>300</v>
      </c>
      <c r="D253" s="96">
        <f t="shared" si="0"/>
        <v>0.03</v>
      </c>
      <c r="E253" s="446"/>
      <c r="F253" s="447"/>
      <c r="G253" s="449"/>
      <c r="H253" s="449"/>
      <c r="I253" s="392"/>
    </row>
    <row r="254" spans="2:9" ht="16.5" thickBot="1">
      <c r="B254" s="144">
        <v>31</v>
      </c>
      <c r="C254" s="96">
        <v>200</v>
      </c>
      <c r="D254" s="96">
        <f t="shared" si="0"/>
        <v>0.02</v>
      </c>
      <c r="E254" s="446"/>
      <c r="F254" s="447"/>
      <c r="G254" s="449"/>
      <c r="H254" s="449"/>
      <c r="I254" s="392"/>
    </row>
    <row r="255" spans="2:9" ht="16.5" thickBot="1">
      <c r="B255" s="144">
        <v>32</v>
      </c>
      <c r="C255" s="96">
        <v>50</v>
      </c>
      <c r="D255" s="96">
        <f t="shared" si="0"/>
        <v>5.0000000000000001E-3</v>
      </c>
      <c r="E255" s="446"/>
      <c r="F255" s="447"/>
      <c r="G255" s="449"/>
      <c r="H255" s="449"/>
      <c r="I255" s="392"/>
    </row>
    <row r="256" spans="2:9" ht="16.5" thickBot="1">
      <c r="B256" s="144">
        <v>33</v>
      </c>
      <c r="C256" s="96">
        <v>10</v>
      </c>
      <c r="D256" s="96">
        <f t="shared" si="0"/>
        <v>1E-3</v>
      </c>
      <c r="E256" s="446"/>
      <c r="F256" s="447"/>
      <c r="G256" s="449"/>
      <c r="H256" s="449"/>
      <c r="I256" s="392"/>
    </row>
    <row r="257" spans="2:14" ht="16.5" thickBot="1">
      <c r="B257" s="144">
        <v>34</v>
      </c>
      <c r="C257" s="96">
        <v>500</v>
      </c>
      <c r="D257" s="96">
        <f t="shared" si="0"/>
        <v>0.05</v>
      </c>
      <c r="E257" s="446"/>
      <c r="F257" s="447"/>
      <c r="G257" s="449"/>
      <c r="H257" s="449"/>
      <c r="I257" s="392"/>
    </row>
    <row r="258" spans="2:14" ht="16.5" thickBot="1">
      <c r="B258" s="144" t="s">
        <v>893</v>
      </c>
      <c r="C258" s="96">
        <f>SUM(C224:C257)</f>
        <v>5822</v>
      </c>
      <c r="D258" s="96">
        <f t="shared" si="0"/>
        <v>0.58220000000000005</v>
      </c>
      <c r="E258" s="405"/>
      <c r="F258" s="407"/>
      <c r="G258" s="450"/>
      <c r="H258" s="450"/>
      <c r="I258" s="393"/>
    </row>
    <row r="259" spans="2:14" ht="15.75" thickBot="1"/>
    <row r="260" spans="2:14" ht="16.5" thickBot="1">
      <c r="C260" s="145"/>
      <c r="D260" s="144" t="s">
        <v>1868</v>
      </c>
      <c r="E260" s="451">
        <f>D258*E224</f>
        <v>3.0274400000000004</v>
      </c>
      <c r="F260" s="452"/>
    </row>
    <row r="261" spans="2:14" ht="16.5" thickBot="1">
      <c r="C261" s="419" t="s">
        <v>1869</v>
      </c>
      <c r="D261" s="445"/>
      <c r="E261" s="97">
        <f>E260*1000</f>
        <v>3027.4400000000005</v>
      </c>
      <c r="F261" s="98"/>
    </row>
    <row r="266" spans="2:14" ht="15.75">
      <c r="B266" s="381" t="s">
        <v>1870</v>
      </c>
      <c r="C266" s="381"/>
      <c r="D266" s="381"/>
      <c r="E266" s="381"/>
      <c r="F266" s="381"/>
      <c r="G266" s="381"/>
      <c r="H266" s="381"/>
      <c r="I266" s="381"/>
      <c r="J266" s="381"/>
      <c r="K266" s="381"/>
      <c r="L266" s="381"/>
    </row>
    <row r="269" spans="2:14" ht="19.5" thickBot="1">
      <c r="B269" s="435" t="s">
        <v>1871</v>
      </c>
      <c r="C269" s="436"/>
      <c r="D269" s="436"/>
      <c r="E269" s="436"/>
      <c r="F269" s="436"/>
      <c r="G269" s="436"/>
      <c r="H269" s="436"/>
      <c r="I269" s="436"/>
      <c r="J269" s="436"/>
      <c r="K269" s="436"/>
      <c r="L269" s="436"/>
    </row>
    <row r="270" spans="2:14" ht="15.75" thickBot="1">
      <c r="B270" s="437" t="s">
        <v>1872</v>
      </c>
      <c r="C270" s="438" t="s">
        <v>1873</v>
      </c>
      <c r="D270" s="439"/>
      <c r="E270" s="439"/>
      <c r="F270" s="439"/>
      <c r="G270" s="439"/>
      <c r="H270" s="439"/>
      <c r="I270" s="439"/>
      <c r="J270" s="439"/>
      <c r="K270" s="439"/>
      <c r="L270" s="439"/>
      <c r="M270" s="203" t="s">
        <v>1874</v>
      </c>
      <c r="N270" s="204">
        <f>44/12</f>
        <v>3.6666666666666665</v>
      </c>
    </row>
    <row r="271" spans="2:14" ht="39" thickBot="1">
      <c r="B271" s="437"/>
      <c r="C271" s="189" t="s">
        <v>1875</v>
      </c>
      <c r="D271" s="189" t="s">
        <v>1876</v>
      </c>
      <c r="E271" s="189" t="s">
        <v>1877</v>
      </c>
      <c r="F271" s="189" t="s">
        <v>1878</v>
      </c>
      <c r="G271" s="190" t="s">
        <v>1879</v>
      </c>
      <c r="H271" s="190" t="s">
        <v>1880</v>
      </c>
      <c r="I271" s="190" t="s">
        <v>1881</v>
      </c>
      <c r="J271" s="190" t="s">
        <v>1882</v>
      </c>
      <c r="K271" s="191" t="s">
        <v>1883</v>
      </c>
      <c r="L271" s="191" t="s">
        <v>1884</v>
      </c>
    </row>
    <row r="272" spans="2:14" ht="15.75" thickBot="1">
      <c r="B272" s="440" t="s">
        <v>1885</v>
      </c>
      <c r="C272" s="441"/>
      <c r="D272" s="441"/>
      <c r="E272" s="441"/>
      <c r="F272" s="441"/>
      <c r="G272" s="441"/>
      <c r="H272" s="441"/>
      <c r="I272" s="441"/>
      <c r="J272" s="441"/>
      <c r="K272" s="441"/>
      <c r="L272" s="442"/>
    </row>
    <row r="273" spans="2:12" ht="30.75" thickBot="1">
      <c r="B273" s="192" t="s">
        <v>1886</v>
      </c>
      <c r="C273" s="193">
        <v>0</v>
      </c>
      <c r="D273" s="193">
        <v>40.693989195379501</v>
      </c>
      <c r="E273" s="193">
        <v>0</v>
      </c>
      <c r="F273" s="193">
        <v>0</v>
      </c>
      <c r="G273" s="193">
        <v>0</v>
      </c>
      <c r="H273" s="194">
        <v>0</v>
      </c>
      <c r="I273" s="195">
        <v>0</v>
      </c>
      <c r="J273" s="195">
        <v>0</v>
      </c>
      <c r="K273" s="196">
        <v>40.693989195379501</v>
      </c>
      <c r="L273" s="196">
        <f>K273*N270*-1</f>
        <v>-149.21129371639151</v>
      </c>
    </row>
    <row r="274" spans="2:12" ht="15.75" thickBot="1">
      <c r="B274" s="440" t="s">
        <v>1887</v>
      </c>
      <c r="C274" s="441"/>
      <c r="D274" s="441"/>
      <c r="E274" s="441"/>
      <c r="F274" s="441"/>
      <c r="G274" s="441"/>
      <c r="H274" s="441"/>
      <c r="I274" s="441"/>
      <c r="J274" s="441"/>
      <c r="K274" s="441"/>
      <c r="L274" s="442"/>
    </row>
    <row r="275" spans="2:12" ht="30.75" thickBot="1">
      <c r="B275" s="192" t="s">
        <v>1886</v>
      </c>
      <c r="C275" s="193">
        <v>0</v>
      </c>
      <c r="D275" s="193">
        <v>-22.843761194530355</v>
      </c>
      <c r="E275" s="193">
        <v>0</v>
      </c>
      <c r="F275" s="193">
        <v>-10.527843182462162</v>
      </c>
      <c r="G275" s="193">
        <v>0</v>
      </c>
      <c r="H275" s="194">
        <v>-81.934147964437273</v>
      </c>
      <c r="I275" s="195">
        <v>-7.4355731521992539</v>
      </c>
      <c r="J275" s="195">
        <v>0</v>
      </c>
      <c r="K275" s="197">
        <v>-122.74132549362903</v>
      </c>
      <c r="L275" s="197">
        <f>-K275*$N$270</f>
        <v>450.0515268099731</v>
      </c>
    </row>
    <row r="276" spans="2:12" ht="30.75" thickBot="1">
      <c r="B276" s="192" t="s">
        <v>1888</v>
      </c>
      <c r="C276" s="193">
        <v>0</v>
      </c>
      <c r="D276" s="193">
        <v>4.7141679556987492</v>
      </c>
      <c r="E276" s="193">
        <v>0</v>
      </c>
      <c r="F276" s="193">
        <v>-8.17004933638</v>
      </c>
      <c r="G276" s="193">
        <v>0</v>
      </c>
      <c r="H276" s="194">
        <v>-1.20774496388</v>
      </c>
      <c r="I276" s="195">
        <v>-0.90042530724999992</v>
      </c>
      <c r="J276" s="195">
        <v>0</v>
      </c>
      <c r="K276" s="197">
        <v>-5.5640516518112504</v>
      </c>
      <c r="L276" s="197">
        <f t="shared" ref="L276:L279" si="1">-K276*$N$270</f>
        <v>20.401522723307917</v>
      </c>
    </row>
    <row r="277" spans="2:12" ht="30.75" thickBot="1">
      <c r="B277" s="192" t="s">
        <v>1889</v>
      </c>
      <c r="C277" s="193">
        <v>0</v>
      </c>
      <c r="D277" s="193">
        <v>5.4539440872165006</v>
      </c>
      <c r="E277" s="193">
        <v>0</v>
      </c>
      <c r="F277" s="193">
        <v>9.2041252602435026</v>
      </c>
      <c r="G277" s="193">
        <v>0</v>
      </c>
      <c r="H277" s="194">
        <v>21.822279289302003</v>
      </c>
      <c r="I277" s="195">
        <v>-5.6488211870970018</v>
      </c>
      <c r="J277" s="195">
        <v>0</v>
      </c>
      <c r="K277" s="197">
        <v>30.831527449665</v>
      </c>
      <c r="L277" s="197">
        <f t="shared" si="1"/>
        <v>-113.048933982105</v>
      </c>
    </row>
    <row r="278" spans="2:12" ht="30.75" thickBot="1">
      <c r="B278" s="192" t="s">
        <v>1890</v>
      </c>
      <c r="C278" s="193">
        <v>0</v>
      </c>
      <c r="D278" s="193">
        <v>0</v>
      </c>
      <c r="E278" s="193">
        <v>0</v>
      </c>
      <c r="F278" s="193">
        <v>0</v>
      </c>
      <c r="G278" s="193">
        <v>0</v>
      </c>
      <c r="H278" s="194">
        <v>0</v>
      </c>
      <c r="I278" s="195">
        <v>0</v>
      </c>
      <c r="J278" s="195">
        <v>0</v>
      </c>
      <c r="K278" s="197">
        <v>0</v>
      </c>
      <c r="L278" s="197">
        <f t="shared" si="1"/>
        <v>0</v>
      </c>
    </row>
    <row r="279" spans="2:12" ht="30.75" thickBot="1">
      <c r="B279" s="198" t="s">
        <v>1891</v>
      </c>
      <c r="C279" s="193">
        <f>SUM(C275:C278)</f>
        <v>0</v>
      </c>
      <c r="D279" s="193">
        <f t="shared" ref="D279:J279" si="2">SUM(D275:D278)</f>
        <v>-12.675649151615106</v>
      </c>
      <c r="E279" s="193">
        <f t="shared" si="2"/>
        <v>0</v>
      </c>
      <c r="F279" s="193">
        <f t="shared" si="2"/>
        <v>-9.4937672585986572</v>
      </c>
      <c r="G279" s="193">
        <f t="shared" si="2"/>
        <v>0</v>
      </c>
      <c r="H279" s="193">
        <f t="shared" si="2"/>
        <v>-61.319613639015273</v>
      </c>
      <c r="I279" s="193">
        <f t="shared" si="2"/>
        <v>-13.984819646546256</v>
      </c>
      <c r="J279" s="193">
        <f t="shared" si="2"/>
        <v>0</v>
      </c>
      <c r="K279" s="197">
        <f t="shared" ref="K279" si="3">SUM(C279:J279)</f>
        <v>-97.473849695775286</v>
      </c>
      <c r="L279" s="197">
        <f t="shared" si="1"/>
        <v>357.40411555117601</v>
      </c>
    </row>
    <row r="280" spans="2:12" ht="15.75" thickBot="1">
      <c r="B280" s="199" t="s">
        <v>893</v>
      </c>
      <c r="C280" s="200">
        <f>+C273+C279</f>
        <v>0</v>
      </c>
      <c r="D280" s="200">
        <f t="shared" ref="D280:J280" si="4">+D273+D279</f>
        <v>28.018340043764397</v>
      </c>
      <c r="E280" s="200">
        <f t="shared" si="4"/>
        <v>0</v>
      </c>
      <c r="F280" s="200">
        <f t="shared" si="4"/>
        <v>-9.4937672585986572</v>
      </c>
      <c r="G280" s="200">
        <f t="shared" si="4"/>
        <v>0</v>
      </c>
      <c r="H280" s="200">
        <f t="shared" si="4"/>
        <v>-61.319613639015273</v>
      </c>
      <c r="I280" s="200">
        <f t="shared" si="4"/>
        <v>-13.984819646546256</v>
      </c>
      <c r="J280" s="200">
        <f t="shared" si="4"/>
        <v>0</v>
      </c>
      <c r="K280" s="200">
        <f>+K273+K279</f>
        <v>-56.779860500395785</v>
      </c>
      <c r="L280" s="200">
        <f>+L273+L279</f>
        <v>208.1928218347845</v>
      </c>
    </row>
    <row r="281" spans="2:12" ht="15.75" thickBot="1">
      <c r="C281" s="201"/>
      <c r="D281" s="201"/>
      <c r="E281" s="201"/>
      <c r="F281" s="202"/>
      <c r="G281" s="201"/>
      <c r="H281" s="201"/>
    </row>
    <row r="282" spans="2:12" ht="33.75" customHeight="1" thickBot="1">
      <c r="B282" s="443" t="s">
        <v>1892</v>
      </c>
      <c r="C282" s="444"/>
      <c r="D282" s="193">
        <f>(SUMIF(C273:J273,"&lt;0")+SUMIF(C275:J278,"&lt;0"))</f>
        <v>-138.66836628823606</v>
      </c>
    </row>
    <row r="283" spans="2:12" ht="42" customHeight="1" thickBot="1">
      <c r="B283" s="443" t="s">
        <v>1893</v>
      </c>
      <c r="C283" s="444"/>
      <c r="D283" s="193">
        <f>(SUMIF(C273:J273,"&gt;0")+SUMIF(C275:J278,"&gt;0"))</f>
        <v>81.888505787840259</v>
      </c>
    </row>
    <row r="284" spans="2:12">
      <c r="C284" s="152"/>
      <c r="J284" s="152"/>
    </row>
  </sheetData>
  <mergeCells count="388">
    <mergeCell ref="B1:C1"/>
    <mergeCell ref="B5:L5"/>
    <mergeCell ref="B162:L162"/>
    <mergeCell ref="B197:L197"/>
    <mergeCell ref="B199:E199"/>
    <mergeCell ref="B203:C203"/>
    <mergeCell ref="B7:E7"/>
    <mergeCell ref="B9:C9"/>
    <mergeCell ref="B33:F33"/>
    <mergeCell ref="B36:E36"/>
    <mergeCell ref="C37:E37"/>
    <mergeCell ref="C41:E41"/>
    <mergeCell ref="B42:C42"/>
    <mergeCell ref="D42:E42"/>
    <mergeCell ref="B43:C43"/>
    <mergeCell ref="D43:E43"/>
    <mergeCell ref="B38:C38"/>
    <mergeCell ref="D38:E38"/>
    <mergeCell ref="B39:C39"/>
    <mergeCell ref="D39:E39"/>
    <mergeCell ref="D44:E44"/>
    <mergeCell ref="C45:E45"/>
    <mergeCell ref="B46:C46"/>
    <mergeCell ref="B47:C47"/>
    <mergeCell ref="D47:E47"/>
    <mergeCell ref="B48:C48"/>
    <mergeCell ref="B56:C56"/>
    <mergeCell ref="D56:E56"/>
    <mergeCell ref="B57:E57"/>
    <mergeCell ref="B58:C58"/>
    <mergeCell ref="D58:E58"/>
    <mergeCell ref="C53:E53"/>
    <mergeCell ref="B54:C54"/>
    <mergeCell ref="D54:E54"/>
    <mergeCell ref="B55:C55"/>
    <mergeCell ref="D55:E55"/>
    <mergeCell ref="B50:C50"/>
    <mergeCell ref="D50:E50"/>
    <mergeCell ref="B51:C51"/>
    <mergeCell ref="D51:E51"/>
    <mergeCell ref="B52:C52"/>
    <mergeCell ref="D52:E52"/>
    <mergeCell ref="D46:E46"/>
    <mergeCell ref="D48:E48"/>
    <mergeCell ref="C49:E49"/>
    <mergeCell ref="G36:J36"/>
    <mergeCell ref="H37:J37"/>
    <mergeCell ref="G38:H38"/>
    <mergeCell ref="I38:J38"/>
    <mergeCell ref="G39:H39"/>
    <mergeCell ref="I39:J39"/>
    <mergeCell ref="G40:H40"/>
    <mergeCell ref="I40:J40"/>
    <mergeCell ref="H41:J41"/>
    <mergeCell ref="I43:J43"/>
    <mergeCell ref="G44:H44"/>
    <mergeCell ref="I44:J44"/>
    <mergeCell ref="H45:J45"/>
    <mergeCell ref="G46:H46"/>
    <mergeCell ref="I46:J46"/>
    <mergeCell ref="B40:C40"/>
    <mergeCell ref="D40:E40"/>
    <mergeCell ref="G42:H42"/>
    <mergeCell ref="I42:J42"/>
    <mergeCell ref="G43:H43"/>
    <mergeCell ref="B44:C44"/>
    <mergeCell ref="G47:H47"/>
    <mergeCell ref="I47:J47"/>
    <mergeCell ref="G48:H48"/>
    <mergeCell ref="I48:J48"/>
    <mergeCell ref="H49:J49"/>
    <mergeCell ref="G56:H56"/>
    <mergeCell ref="I56:J56"/>
    <mergeCell ref="H57:J57"/>
    <mergeCell ref="G58:H58"/>
    <mergeCell ref="I58:J58"/>
    <mergeCell ref="H53:J53"/>
    <mergeCell ref="G54:H54"/>
    <mergeCell ref="I54:J54"/>
    <mergeCell ref="G55:H55"/>
    <mergeCell ref="I55:J55"/>
    <mergeCell ref="G50:H50"/>
    <mergeCell ref="I50:J50"/>
    <mergeCell ref="G51:H51"/>
    <mergeCell ref="I51:J51"/>
    <mergeCell ref="G52:H52"/>
    <mergeCell ref="I52:J52"/>
    <mergeCell ref="G61:J61"/>
    <mergeCell ref="B59:C59"/>
    <mergeCell ref="D59:E59"/>
    <mergeCell ref="B60:C60"/>
    <mergeCell ref="D60:E60"/>
    <mergeCell ref="B68:C68"/>
    <mergeCell ref="D68:E68"/>
    <mergeCell ref="C69:E69"/>
    <mergeCell ref="B70:C70"/>
    <mergeCell ref="D70:E70"/>
    <mergeCell ref="C65:E65"/>
    <mergeCell ref="B66:C66"/>
    <mergeCell ref="D66:E66"/>
    <mergeCell ref="B67:C67"/>
    <mergeCell ref="D67:E67"/>
    <mergeCell ref="G63:H63"/>
    <mergeCell ref="I63:J63"/>
    <mergeCell ref="G64:H64"/>
    <mergeCell ref="I64:J64"/>
    <mergeCell ref="B64:E64"/>
    <mergeCell ref="G59:H59"/>
    <mergeCell ref="I59:J59"/>
    <mergeCell ref="G60:H60"/>
    <mergeCell ref="I60:J60"/>
    <mergeCell ref="B74:C74"/>
    <mergeCell ref="D74:E74"/>
    <mergeCell ref="B75:C75"/>
    <mergeCell ref="D75:E75"/>
    <mergeCell ref="B76:C76"/>
    <mergeCell ref="D76:E76"/>
    <mergeCell ref="B71:C71"/>
    <mergeCell ref="D71:E71"/>
    <mergeCell ref="B72:C72"/>
    <mergeCell ref="D72:E72"/>
    <mergeCell ref="B73:E73"/>
    <mergeCell ref="G72:H72"/>
    <mergeCell ref="I72:J72"/>
    <mergeCell ref="H73:J73"/>
    <mergeCell ref="G74:H74"/>
    <mergeCell ref="I74:J74"/>
    <mergeCell ref="G68:J68"/>
    <mergeCell ref="H69:J69"/>
    <mergeCell ref="G70:H70"/>
    <mergeCell ref="I70:J70"/>
    <mergeCell ref="G71:H71"/>
    <mergeCell ref="I71:J71"/>
    <mergeCell ref="G78:H78"/>
    <mergeCell ref="I78:J78"/>
    <mergeCell ref="G79:H79"/>
    <mergeCell ref="I79:J79"/>
    <mergeCell ref="G80:H80"/>
    <mergeCell ref="I80:J80"/>
    <mergeCell ref="G75:H75"/>
    <mergeCell ref="I75:J75"/>
    <mergeCell ref="G76:H76"/>
    <mergeCell ref="I76:J76"/>
    <mergeCell ref="H77:J77"/>
    <mergeCell ref="C85:E85"/>
    <mergeCell ref="B86:C86"/>
    <mergeCell ref="D86:E86"/>
    <mergeCell ref="B87:C87"/>
    <mergeCell ref="D87:E87"/>
    <mergeCell ref="G84:H84"/>
    <mergeCell ref="I84:J84"/>
    <mergeCell ref="B80:E80"/>
    <mergeCell ref="C81:E81"/>
    <mergeCell ref="B82:C82"/>
    <mergeCell ref="D82:E82"/>
    <mergeCell ref="B83:C83"/>
    <mergeCell ref="D83:E83"/>
    <mergeCell ref="B84:C84"/>
    <mergeCell ref="D84:E84"/>
    <mergeCell ref="G81:J81"/>
    <mergeCell ref="G82:H82"/>
    <mergeCell ref="I82:J82"/>
    <mergeCell ref="G83:H83"/>
    <mergeCell ref="I83:J83"/>
    <mergeCell ref="G88:J88"/>
    <mergeCell ref="H89:J89"/>
    <mergeCell ref="G90:H90"/>
    <mergeCell ref="I90:J90"/>
    <mergeCell ref="G91:H91"/>
    <mergeCell ref="I91:J91"/>
    <mergeCell ref="G92:H92"/>
    <mergeCell ref="I92:J92"/>
    <mergeCell ref="B88:C88"/>
    <mergeCell ref="D88:E88"/>
    <mergeCell ref="B89:E89"/>
    <mergeCell ref="B90:C90"/>
    <mergeCell ref="D90:E90"/>
    <mergeCell ref="H93:J93"/>
    <mergeCell ref="G94:H94"/>
    <mergeCell ref="I94:J94"/>
    <mergeCell ref="G95:H95"/>
    <mergeCell ref="I95:J95"/>
    <mergeCell ref="B91:C91"/>
    <mergeCell ref="D91:E91"/>
    <mergeCell ref="B92:C92"/>
    <mergeCell ref="D92:E92"/>
    <mergeCell ref="G99:H99"/>
    <mergeCell ref="I99:J99"/>
    <mergeCell ref="G100:H100"/>
    <mergeCell ref="I100:J100"/>
    <mergeCell ref="B96:E96"/>
    <mergeCell ref="C97:E97"/>
    <mergeCell ref="B98:C98"/>
    <mergeCell ref="D98:E98"/>
    <mergeCell ref="B99:C99"/>
    <mergeCell ref="D99:E99"/>
    <mergeCell ref="B100:C100"/>
    <mergeCell ref="D100:E100"/>
    <mergeCell ref="G96:H96"/>
    <mergeCell ref="I96:J96"/>
    <mergeCell ref="G97:J97"/>
    <mergeCell ref="G98:H98"/>
    <mergeCell ref="I98:J98"/>
    <mergeCell ref="B104:C104"/>
    <mergeCell ref="D104:E104"/>
    <mergeCell ref="C105:E105"/>
    <mergeCell ref="B106:C106"/>
    <mergeCell ref="D106:E106"/>
    <mergeCell ref="C101:E101"/>
    <mergeCell ref="B102:C102"/>
    <mergeCell ref="D102:E102"/>
    <mergeCell ref="B103:C103"/>
    <mergeCell ref="D103:E103"/>
    <mergeCell ref="B110:C110"/>
    <mergeCell ref="D110:E110"/>
    <mergeCell ref="B111:C111"/>
    <mergeCell ref="D111:E111"/>
    <mergeCell ref="B112:C112"/>
    <mergeCell ref="D112:E112"/>
    <mergeCell ref="B107:C107"/>
    <mergeCell ref="D107:E107"/>
    <mergeCell ref="B108:C108"/>
    <mergeCell ref="D108:E108"/>
    <mergeCell ref="B109:E109"/>
    <mergeCell ref="G108:H108"/>
    <mergeCell ref="I108:J108"/>
    <mergeCell ref="G109:J109"/>
    <mergeCell ref="G110:H110"/>
    <mergeCell ref="I110:J110"/>
    <mergeCell ref="G104:J104"/>
    <mergeCell ref="H105:J105"/>
    <mergeCell ref="G106:H106"/>
    <mergeCell ref="I106:J106"/>
    <mergeCell ref="G107:H107"/>
    <mergeCell ref="I107:J107"/>
    <mergeCell ref="I122:J122"/>
    <mergeCell ref="G123:H123"/>
    <mergeCell ref="I123:J123"/>
    <mergeCell ref="H117:J117"/>
    <mergeCell ref="G119:H119"/>
    <mergeCell ref="I119:J119"/>
    <mergeCell ref="G120:H120"/>
    <mergeCell ref="I120:J120"/>
    <mergeCell ref="G111:H111"/>
    <mergeCell ref="I111:J111"/>
    <mergeCell ref="G112:H112"/>
    <mergeCell ref="I112:J112"/>
    <mergeCell ref="G116:J116"/>
    <mergeCell ref="D124:E124"/>
    <mergeCell ref="C125:E125"/>
    <mergeCell ref="B126:C126"/>
    <mergeCell ref="D126:E126"/>
    <mergeCell ref="B127:C127"/>
    <mergeCell ref="D127:E127"/>
    <mergeCell ref="G124:H124"/>
    <mergeCell ref="I124:J124"/>
    <mergeCell ref="B116:E116"/>
    <mergeCell ref="C117:E117"/>
    <mergeCell ref="B118:C118"/>
    <mergeCell ref="D118:E118"/>
    <mergeCell ref="B119:C119"/>
    <mergeCell ref="D119:E119"/>
    <mergeCell ref="B120:C120"/>
    <mergeCell ref="D120:E120"/>
    <mergeCell ref="C121:E121"/>
    <mergeCell ref="B122:C122"/>
    <mergeCell ref="D122:E122"/>
    <mergeCell ref="B123:C123"/>
    <mergeCell ref="D123:E123"/>
    <mergeCell ref="B124:C124"/>
    <mergeCell ref="G121:J121"/>
    <mergeCell ref="G122:H122"/>
    <mergeCell ref="B131:C131"/>
    <mergeCell ref="D131:E131"/>
    <mergeCell ref="B132:C132"/>
    <mergeCell ref="D132:E132"/>
    <mergeCell ref="C133:E133"/>
    <mergeCell ref="B128:C128"/>
    <mergeCell ref="D128:E128"/>
    <mergeCell ref="C129:E129"/>
    <mergeCell ref="B130:C130"/>
    <mergeCell ref="D130:E130"/>
    <mergeCell ref="G134:H134"/>
    <mergeCell ref="I134:J134"/>
    <mergeCell ref="G135:H135"/>
    <mergeCell ref="I135:J135"/>
    <mergeCell ref="G136:H136"/>
    <mergeCell ref="B137:E137"/>
    <mergeCell ref="B138:C138"/>
    <mergeCell ref="D138:E138"/>
    <mergeCell ref="B139:C139"/>
    <mergeCell ref="D139:E139"/>
    <mergeCell ref="B134:C134"/>
    <mergeCell ref="D134:E134"/>
    <mergeCell ref="B135:C135"/>
    <mergeCell ref="D135:E135"/>
    <mergeCell ref="B136:C136"/>
    <mergeCell ref="D136:E136"/>
    <mergeCell ref="G128:J128"/>
    <mergeCell ref="H129:J129"/>
    <mergeCell ref="G130:H130"/>
    <mergeCell ref="I130:J130"/>
    <mergeCell ref="G131:H131"/>
    <mergeCell ref="I131:J131"/>
    <mergeCell ref="G132:H132"/>
    <mergeCell ref="I132:J132"/>
    <mergeCell ref="G133:J133"/>
    <mergeCell ref="B154:E154"/>
    <mergeCell ref="B157:E157"/>
    <mergeCell ref="B164:F164"/>
    <mergeCell ref="B167:E167"/>
    <mergeCell ref="C168:E168"/>
    <mergeCell ref="I136:J136"/>
    <mergeCell ref="B145:F145"/>
    <mergeCell ref="B148:E148"/>
    <mergeCell ref="B151:E151"/>
    <mergeCell ref="B140:C140"/>
    <mergeCell ref="D140:E140"/>
    <mergeCell ref="I170:J170"/>
    <mergeCell ref="G167:J167"/>
    <mergeCell ref="H168:J168"/>
    <mergeCell ref="G170:H170"/>
    <mergeCell ref="I171:J171"/>
    <mergeCell ref="G169:H169"/>
    <mergeCell ref="I169:J169"/>
    <mergeCell ref="B174:E174"/>
    <mergeCell ref="C175:E175"/>
    <mergeCell ref="B169:C169"/>
    <mergeCell ref="D169:E169"/>
    <mergeCell ref="B170:C170"/>
    <mergeCell ref="D170:E170"/>
    <mergeCell ref="D171:E171"/>
    <mergeCell ref="B177:C177"/>
    <mergeCell ref="D177:E177"/>
    <mergeCell ref="D178:E178"/>
    <mergeCell ref="G174:J174"/>
    <mergeCell ref="H175:J175"/>
    <mergeCell ref="G176:H176"/>
    <mergeCell ref="I176:J176"/>
    <mergeCell ref="G177:H177"/>
    <mergeCell ref="I177:J177"/>
    <mergeCell ref="I178:J178"/>
    <mergeCell ref="B176:C176"/>
    <mergeCell ref="D176:E176"/>
    <mergeCell ref="B188:E188"/>
    <mergeCell ref="C189:E189"/>
    <mergeCell ref="B190:C190"/>
    <mergeCell ref="D190:E190"/>
    <mergeCell ref="B191:C191"/>
    <mergeCell ref="D191:E191"/>
    <mergeCell ref="D185:E185"/>
    <mergeCell ref="G181:J181"/>
    <mergeCell ref="H182:J182"/>
    <mergeCell ref="G183:H183"/>
    <mergeCell ref="I183:J183"/>
    <mergeCell ref="G184:H184"/>
    <mergeCell ref="I184:J184"/>
    <mergeCell ref="I185:J185"/>
    <mergeCell ref="B181:E181"/>
    <mergeCell ref="C182:E182"/>
    <mergeCell ref="B183:C183"/>
    <mergeCell ref="D183:E183"/>
    <mergeCell ref="B184:C184"/>
    <mergeCell ref="D184:E184"/>
    <mergeCell ref="B266:L266"/>
    <mergeCell ref="B269:L269"/>
    <mergeCell ref="B270:B271"/>
    <mergeCell ref="C270:L270"/>
    <mergeCell ref="B272:L272"/>
    <mergeCell ref="B274:L274"/>
    <mergeCell ref="B282:C282"/>
    <mergeCell ref="B283:C283"/>
    <mergeCell ref="D192:E192"/>
    <mergeCell ref="B217:L217"/>
    <mergeCell ref="B219:E219"/>
    <mergeCell ref="B221:C221"/>
    <mergeCell ref="C261:D261"/>
    <mergeCell ref="D221:I221"/>
    <mergeCell ref="E224:F258"/>
    <mergeCell ref="G224:G258"/>
    <mergeCell ref="H224:H258"/>
    <mergeCell ref="I224:I258"/>
    <mergeCell ref="E260:F260"/>
    <mergeCell ref="B222:B223"/>
    <mergeCell ref="C222:C223"/>
    <mergeCell ref="D222:D223"/>
    <mergeCell ref="E222:F223"/>
    <mergeCell ref="G222:I222"/>
  </mergeCells>
  <pageMargins left="0.7" right="0.7" top="0.75" bottom="0.75" header="0.3" footer="0.3"/>
  <pageSetup orientation="portrait" horizontalDpi="300" verticalDpi="0"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tint="0.39997558519241921"/>
  </sheetPr>
  <dimension ref="B1:E117"/>
  <sheetViews>
    <sheetView showGridLines="0" tabSelected="1" zoomScale="70" zoomScaleNormal="70" workbookViewId="0">
      <selection activeCell="F53" sqref="F53"/>
    </sheetView>
  </sheetViews>
  <sheetFormatPr defaultColWidth="11.42578125" defaultRowHeight="15.75"/>
  <cols>
    <col min="1" max="1" width="11.42578125" style="1"/>
    <col min="2" max="2" width="48.42578125" style="1" customWidth="1"/>
    <col min="3" max="3" width="30.42578125" style="1" customWidth="1"/>
    <col min="4" max="4" width="27.42578125" style="1" customWidth="1"/>
    <col min="5" max="5" width="40.7109375" style="1" customWidth="1"/>
    <col min="6" max="16384" width="11.42578125" style="1"/>
  </cols>
  <sheetData>
    <row r="1" spans="2:5" ht="18.75">
      <c r="B1" s="66" t="s">
        <v>21</v>
      </c>
    </row>
    <row r="3" spans="2:5" ht="19.5" thickBot="1">
      <c r="B3" s="10" t="s">
        <v>22</v>
      </c>
      <c r="C3" s="9"/>
      <c r="D3" s="9"/>
      <c r="E3" s="9"/>
    </row>
    <row r="4" spans="2:5" ht="16.5" thickBot="1"/>
    <row r="5" spans="2:5" ht="16.5" thickBot="1">
      <c r="B5" s="8" t="s">
        <v>23</v>
      </c>
      <c r="C5" s="244" t="s">
        <v>24</v>
      </c>
      <c r="D5" s="244"/>
      <c r="E5" s="244"/>
    </row>
    <row r="6" spans="2:5" ht="16.5" thickBot="1">
      <c r="B6" s="74" t="s">
        <v>1</v>
      </c>
      <c r="C6" s="249" t="s">
        <v>2</v>
      </c>
      <c r="D6" s="249"/>
      <c r="E6" s="249"/>
    </row>
    <row r="7" spans="2:5" ht="16.5" thickBot="1">
      <c r="B7" s="74" t="s">
        <v>25</v>
      </c>
      <c r="C7" s="249" t="s">
        <v>26</v>
      </c>
      <c r="D7" s="249"/>
      <c r="E7" s="249"/>
    </row>
    <row r="8" spans="2:5" ht="16.5" thickBot="1">
      <c r="B8" s="74" t="s">
        <v>27</v>
      </c>
      <c r="C8" s="249" t="s">
        <v>28</v>
      </c>
      <c r="D8" s="249"/>
      <c r="E8" s="249"/>
    </row>
    <row r="9" spans="2:5" ht="16.5" thickBot="1">
      <c r="B9" s="74" t="s">
        <v>29</v>
      </c>
      <c r="C9" s="249">
        <v>2021</v>
      </c>
      <c r="D9" s="249"/>
      <c r="E9" s="249"/>
    </row>
    <row r="10" spans="2:5" ht="16.5" thickBot="1">
      <c r="B10" s="74" t="s">
        <v>30</v>
      </c>
      <c r="C10" s="249">
        <v>2017</v>
      </c>
      <c r="D10" s="249"/>
      <c r="E10" s="249"/>
    </row>
    <row r="11" spans="2:5" ht="22.5" customHeight="1" thickBot="1">
      <c r="B11" s="74" t="s">
        <v>31</v>
      </c>
      <c r="C11" s="255" t="s">
        <v>32</v>
      </c>
      <c r="D11" s="255"/>
      <c r="E11" s="255"/>
    </row>
    <row r="12" spans="2:5" ht="16.5" thickBot="1">
      <c r="B12" s="74" t="s">
        <v>33</v>
      </c>
      <c r="C12" s="249">
        <v>11.8</v>
      </c>
      <c r="D12" s="249"/>
      <c r="E12" s="249"/>
    </row>
    <row r="13" spans="2:5" ht="32.25" thickBot="1">
      <c r="B13" s="11" t="s">
        <v>34</v>
      </c>
      <c r="C13" s="256">
        <v>30713</v>
      </c>
      <c r="D13" s="257"/>
      <c r="E13" s="258"/>
    </row>
    <row r="14" spans="2:5" ht="16.5" thickBot="1">
      <c r="B14" s="74" t="s">
        <v>35</v>
      </c>
      <c r="C14" s="259"/>
      <c r="D14" s="260"/>
      <c r="E14" s="261"/>
    </row>
    <row r="15" spans="2:5" ht="23.25" customHeight="1" thickBot="1">
      <c r="B15" s="74" t="s">
        <v>36</v>
      </c>
      <c r="C15" s="249" t="s">
        <v>37</v>
      </c>
      <c r="D15" s="249"/>
      <c r="E15" s="249"/>
    </row>
    <row r="16" spans="2:5" ht="60.75" customHeight="1" thickBot="1">
      <c r="B16" s="74" t="s">
        <v>38</v>
      </c>
      <c r="C16" s="255" t="s">
        <v>39</v>
      </c>
      <c r="D16" s="255"/>
      <c r="E16" s="255"/>
    </row>
    <row r="17" spans="2:5" ht="52.5" customHeight="1" thickBot="1">
      <c r="B17" s="74" t="s">
        <v>40</v>
      </c>
      <c r="C17" s="255" t="s">
        <v>41</v>
      </c>
      <c r="D17" s="249"/>
      <c r="E17" s="249"/>
    </row>
    <row r="20" spans="2:5" ht="19.5" thickBot="1">
      <c r="B20" s="10" t="s">
        <v>42</v>
      </c>
      <c r="C20" s="9"/>
      <c r="D20" s="9"/>
      <c r="E20" s="9"/>
    </row>
    <row r="21" spans="2:5" ht="16.5" thickBot="1"/>
    <row r="22" spans="2:5" ht="16.5" thickBot="1">
      <c r="B22" s="216"/>
      <c r="C22" s="216"/>
      <c r="D22" s="216"/>
      <c r="E22" s="216"/>
    </row>
    <row r="23" spans="2:5" ht="16.5" thickBot="1">
      <c r="B23" s="216"/>
      <c r="C23" s="216"/>
      <c r="D23" s="216"/>
      <c r="E23" s="216"/>
    </row>
    <row r="24" spans="2:5" ht="16.5" thickBot="1">
      <c r="B24" s="216"/>
      <c r="C24" s="216"/>
      <c r="D24" s="216"/>
      <c r="E24" s="216"/>
    </row>
    <row r="25" spans="2:5" ht="16.5" thickBot="1">
      <c r="B25" s="216"/>
      <c r="C25" s="216"/>
      <c r="D25" s="216"/>
      <c r="E25" s="216"/>
    </row>
    <row r="26" spans="2:5" ht="16.5" thickBot="1">
      <c r="B26" s="216"/>
      <c r="C26" s="216"/>
      <c r="D26" s="216"/>
      <c r="E26" s="216"/>
    </row>
    <row r="27" spans="2:5" ht="16.5" thickBot="1">
      <c r="B27" s="216"/>
      <c r="C27" s="216"/>
      <c r="D27" s="216"/>
      <c r="E27" s="216"/>
    </row>
    <row r="28" spans="2:5" ht="16.5" thickBot="1">
      <c r="B28" s="216"/>
      <c r="C28" s="216"/>
      <c r="D28" s="216"/>
      <c r="E28" s="216"/>
    </row>
    <row r="29" spans="2:5" ht="16.5" thickBot="1">
      <c r="B29" s="216"/>
      <c r="C29" s="216"/>
      <c r="D29" s="216"/>
      <c r="E29" s="216"/>
    </row>
    <row r="30" spans="2:5" ht="16.5" thickBot="1">
      <c r="B30" s="216"/>
      <c r="C30" s="216"/>
      <c r="D30" s="216"/>
      <c r="E30" s="216"/>
    </row>
    <row r="31" spans="2:5" ht="16.5" thickBot="1">
      <c r="B31" s="216"/>
      <c r="C31" s="216"/>
      <c r="D31" s="216"/>
      <c r="E31" s="216"/>
    </row>
    <row r="32" spans="2:5" ht="16.5" thickBot="1">
      <c r="B32" s="216"/>
      <c r="C32" s="216"/>
      <c r="D32" s="216"/>
      <c r="E32" s="216"/>
    </row>
    <row r="33" spans="2:5" ht="16.5" thickBot="1">
      <c r="B33" s="216"/>
      <c r="C33" s="216"/>
      <c r="D33" s="216"/>
      <c r="E33" s="216"/>
    </row>
    <row r="34" spans="2:5" ht="16.5" thickBot="1">
      <c r="B34" s="216"/>
      <c r="C34" s="216"/>
      <c r="D34" s="216"/>
      <c r="E34" s="216"/>
    </row>
    <row r="35" spans="2:5" ht="16.5" thickBot="1">
      <c r="B35" s="216"/>
      <c r="C35" s="216"/>
      <c r="D35" s="216"/>
      <c r="E35" s="216"/>
    </row>
    <row r="36" spans="2:5" ht="16.5" thickBot="1">
      <c r="B36" s="216"/>
      <c r="C36" s="216"/>
      <c r="D36" s="216"/>
      <c r="E36" s="216"/>
    </row>
    <row r="37" spans="2:5" ht="16.5" thickBot="1">
      <c r="B37" s="216"/>
      <c r="C37" s="216"/>
      <c r="D37" s="216"/>
      <c r="E37" s="216"/>
    </row>
    <row r="38" spans="2:5" ht="16.5" thickBot="1">
      <c r="B38" s="216"/>
      <c r="C38" s="216"/>
      <c r="D38" s="216"/>
      <c r="E38" s="216"/>
    </row>
    <row r="39" spans="2:5" ht="16.5" thickBot="1">
      <c r="B39" s="216"/>
      <c r="C39" s="216"/>
      <c r="D39" s="216"/>
      <c r="E39" s="216"/>
    </row>
    <row r="40" spans="2:5" ht="16.5" thickBot="1">
      <c r="B40" s="216"/>
      <c r="C40" s="216"/>
      <c r="D40" s="216"/>
      <c r="E40" s="216"/>
    </row>
    <row r="41" spans="2:5" ht="16.5" thickBot="1">
      <c r="B41" s="216"/>
      <c r="C41" s="216"/>
      <c r="D41" s="216"/>
      <c r="E41" s="216"/>
    </row>
    <row r="42" spans="2:5" ht="16.5" thickBot="1">
      <c r="B42" s="216"/>
      <c r="C42" s="216"/>
      <c r="D42" s="216"/>
      <c r="E42" s="216"/>
    </row>
    <row r="43" spans="2:5" ht="16.5" thickBot="1">
      <c r="B43" s="216"/>
      <c r="C43" s="216"/>
      <c r="D43" s="216"/>
      <c r="E43" s="216"/>
    </row>
    <row r="45" spans="2:5" ht="19.5" thickBot="1">
      <c r="B45" s="10" t="s">
        <v>43</v>
      </c>
      <c r="C45" s="9"/>
      <c r="D45" s="9"/>
      <c r="E45" s="9"/>
    </row>
    <row r="46" spans="2:5" ht="16.5" thickBot="1"/>
    <row r="47" spans="2:5" ht="16.5" thickBot="1">
      <c r="B47" s="8" t="s">
        <v>44</v>
      </c>
      <c r="C47" s="253" t="s">
        <v>45</v>
      </c>
      <c r="D47" s="254"/>
      <c r="E47" s="8" t="s">
        <v>46</v>
      </c>
    </row>
    <row r="48" spans="2:5" ht="24" customHeight="1" thickBot="1">
      <c r="B48" s="142" t="s">
        <v>47</v>
      </c>
      <c r="C48" s="238" t="s">
        <v>5</v>
      </c>
      <c r="D48" s="239"/>
      <c r="E48" s="141" t="s">
        <v>48</v>
      </c>
    </row>
    <row r="49" spans="2:5" ht="24" customHeight="1" thickBot="1">
      <c r="B49" s="142" t="s">
        <v>49</v>
      </c>
      <c r="C49" s="238" t="s">
        <v>5</v>
      </c>
      <c r="D49" s="239"/>
      <c r="E49" s="141" t="s">
        <v>50</v>
      </c>
    </row>
    <row r="50" spans="2:5" ht="24" customHeight="1" thickBot="1">
      <c r="B50" s="142" t="s">
        <v>51</v>
      </c>
      <c r="C50" s="238" t="s">
        <v>52</v>
      </c>
      <c r="D50" s="239"/>
      <c r="E50" s="141" t="s">
        <v>53</v>
      </c>
    </row>
    <row r="51" spans="2:5" ht="24" customHeight="1" thickBot="1">
      <c r="B51" s="142" t="s">
        <v>54</v>
      </c>
      <c r="C51" s="238" t="s">
        <v>5</v>
      </c>
      <c r="D51" s="239"/>
      <c r="E51" s="141" t="s">
        <v>55</v>
      </c>
    </row>
    <row r="52" spans="2:5" ht="24" customHeight="1" thickBot="1">
      <c r="B52" s="142" t="s">
        <v>56</v>
      </c>
      <c r="C52" s="238" t="s">
        <v>57</v>
      </c>
      <c r="D52" s="239"/>
      <c r="E52" s="141" t="s">
        <v>58</v>
      </c>
    </row>
    <row r="53" spans="2:5" ht="24" customHeight="1" thickBot="1">
      <c r="B53" s="142" t="s">
        <v>59</v>
      </c>
      <c r="C53" s="238" t="s">
        <v>60</v>
      </c>
      <c r="D53" s="239"/>
      <c r="E53" s="141" t="s">
        <v>61</v>
      </c>
    </row>
    <row r="54" spans="2:5" ht="24" customHeight="1" thickBot="1">
      <c r="B54" s="142" t="s">
        <v>62</v>
      </c>
      <c r="C54" s="238" t="s">
        <v>63</v>
      </c>
      <c r="D54" s="239"/>
      <c r="E54" s="141" t="s">
        <v>64</v>
      </c>
    </row>
    <row r="55" spans="2:5" ht="24" customHeight="1" thickBot="1">
      <c r="B55" s="142" t="s">
        <v>65</v>
      </c>
      <c r="C55" s="238" t="s">
        <v>66</v>
      </c>
      <c r="D55" s="239"/>
      <c r="E55" s="141" t="s">
        <v>67</v>
      </c>
    </row>
    <row r="56" spans="2:5" ht="24" customHeight="1" thickBot="1">
      <c r="B56" s="142" t="s">
        <v>68</v>
      </c>
      <c r="C56" s="238" t="s">
        <v>69</v>
      </c>
      <c r="D56" s="239"/>
      <c r="E56" s="141" t="s">
        <v>70</v>
      </c>
    </row>
    <row r="57" spans="2:5" ht="24" customHeight="1" thickBot="1">
      <c r="B57" s="142" t="s">
        <v>71</v>
      </c>
      <c r="C57" s="238" t="s">
        <v>72</v>
      </c>
      <c r="D57" s="239"/>
      <c r="E57" s="141" t="s">
        <v>73</v>
      </c>
    </row>
    <row r="58" spans="2:5" ht="24" customHeight="1" thickBot="1">
      <c r="B58" s="142" t="s">
        <v>74</v>
      </c>
      <c r="C58" s="238" t="s">
        <v>75</v>
      </c>
      <c r="D58" s="239"/>
      <c r="E58" s="141" t="s">
        <v>76</v>
      </c>
    </row>
    <row r="59" spans="2:5" ht="24" customHeight="1" thickBot="1">
      <c r="B59" s="142" t="s">
        <v>77</v>
      </c>
      <c r="C59" s="238" t="s">
        <v>72</v>
      </c>
      <c r="D59" s="239"/>
      <c r="E59" s="141" t="s">
        <v>78</v>
      </c>
    </row>
    <row r="60" spans="2:5" ht="24" customHeight="1" thickBot="1">
      <c r="B60" s="142" t="s">
        <v>79</v>
      </c>
      <c r="C60" s="238" t="s">
        <v>80</v>
      </c>
      <c r="D60" s="239"/>
      <c r="E60" s="141" t="s">
        <v>81</v>
      </c>
    </row>
    <row r="61" spans="2:5" ht="24" customHeight="1" thickBot="1">
      <c r="B61" s="142" t="s">
        <v>82</v>
      </c>
      <c r="C61" s="238" t="s">
        <v>83</v>
      </c>
      <c r="D61" s="239"/>
      <c r="E61" s="141" t="s">
        <v>84</v>
      </c>
    </row>
    <row r="62" spans="2:5" ht="24" customHeight="1" thickBot="1">
      <c r="B62" s="142" t="s">
        <v>85</v>
      </c>
      <c r="C62" s="238" t="s">
        <v>86</v>
      </c>
      <c r="D62" s="239"/>
      <c r="E62" s="141" t="s">
        <v>87</v>
      </c>
    </row>
    <row r="63" spans="2:5" ht="24" customHeight="1" thickBot="1">
      <c r="B63" s="142" t="s">
        <v>88</v>
      </c>
      <c r="C63" s="238" t="s">
        <v>89</v>
      </c>
      <c r="D63" s="239"/>
      <c r="E63" s="141" t="s">
        <v>90</v>
      </c>
    </row>
    <row r="64" spans="2:5" ht="24" customHeight="1" thickBot="1">
      <c r="B64" s="142" t="s">
        <v>91</v>
      </c>
      <c r="C64" s="238" t="s">
        <v>92</v>
      </c>
      <c r="D64" s="239"/>
      <c r="E64" s="141" t="s">
        <v>93</v>
      </c>
    </row>
    <row r="65" spans="2:5" ht="24" customHeight="1" thickBot="1">
      <c r="B65" s="142" t="s">
        <v>94</v>
      </c>
      <c r="C65" s="238" t="s">
        <v>95</v>
      </c>
      <c r="D65" s="239"/>
      <c r="E65" s="141" t="s">
        <v>96</v>
      </c>
    </row>
    <row r="66" spans="2:5" ht="24" customHeight="1" thickBot="1">
      <c r="B66" s="142" t="s">
        <v>97</v>
      </c>
      <c r="C66" s="238" t="s">
        <v>5</v>
      </c>
      <c r="D66" s="239"/>
      <c r="E66" s="141" t="s">
        <v>98</v>
      </c>
    </row>
    <row r="67" spans="2:5" ht="24" customHeight="1" thickBot="1">
      <c r="B67" s="142" t="s">
        <v>99</v>
      </c>
      <c r="C67" s="238" t="s">
        <v>100</v>
      </c>
      <c r="D67" s="239"/>
      <c r="E67" s="141" t="s">
        <v>101</v>
      </c>
    </row>
    <row r="68" spans="2:5" ht="24" customHeight="1" thickBot="1">
      <c r="B68" s="142" t="s">
        <v>102</v>
      </c>
      <c r="C68" s="238" t="s">
        <v>60</v>
      </c>
      <c r="D68" s="239"/>
      <c r="E68" s="141" t="s">
        <v>103</v>
      </c>
    </row>
    <row r="69" spans="2:5" ht="24" customHeight="1" thickBot="1">
      <c r="B69" s="142" t="s">
        <v>104</v>
      </c>
      <c r="C69" s="238" t="s">
        <v>52</v>
      </c>
      <c r="D69" s="239"/>
      <c r="E69" s="141" t="s">
        <v>105</v>
      </c>
    </row>
    <row r="70" spans="2:5" ht="24" customHeight="1" thickBot="1">
      <c r="B70" s="142" t="s">
        <v>106</v>
      </c>
      <c r="C70" s="238" t="s">
        <v>107</v>
      </c>
      <c r="D70" s="239"/>
      <c r="E70" s="141" t="s">
        <v>108</v>
      </c>
    </row>
    <row r="71" spans="2:5" ht="24" customHeight="1" thickBot="1">
      <c r="B71" s="142" t="s">
        <v>109</v>
      </c>
      <c r="C71" s="238" t="s">
        <v>110</v>
      </c>
      <c r="D71" s="239"/>
      <c r="E71" s="141" t="s">
        <v>111</v>
      </c>
    </row>
    <row r="72" spans="2:5" ht="22.5" customHeight="1" thickBot="1">
      <c r="B72" s="142" t="s">
        <v>112</v>
      </c>
      <c r="C72" s="238" t="s">
        <v>113</v>
      </c>
      <c r="D72" s="239"/>
      <c r="E72" s="141" t="s">
        <v>114</v>
      </c>
    </row>
    <row r="73" spans="2:5" ht="24" customHeight="1" thickBot="1">
      <c r="B73" s="142" t="s">
        <v>115</v>
      </c>
      <c r="C73" s="238" t="s">
        <v>116</v>
      </c>
      <c r="D73" s="239"/>
      <c r="E73" s="141" t="s">
        <v>117</v>
      </c>
    </row>
    <row r="74" spans="2:5" ht="37.5" customHeight="1" thickBot="1">
      <c r="B74" s="142" t="s">
        <v>118</v>
      </c>
      <c r="C74" s="238" t="s">
        <v>119</v>
      </c>
      <c r="D74" s="239"/>
      <c r="E74" s="141" t="s">
        <v>120</v>
      </c>
    </row>
    <row r="75" spans="2:5" ht="30.75" customHeight="1" thickBot="1">
      <c r="B75" s="142" t="s">
        <v>121</v>
      </c>
      <c r="C75" s="238" t="s">
        <v>122</v>
      </c>
      <c r="D75" s="239"/>
      <c r="E75" s="141" t="s">
        <v>123</v>
      </c>
    </row>
    <row r="76" spans="2:5" ht="24.75" customHeight="1" thickBot="1">
      <c r="B76" s="142" t="s">
        <v>124</v>
      </c>
      <c r="C76" s="238" t="s">
        <v>107</v>
      </c>
      <c r="D76" s="239"/>
      <c r="E76" s="141" t="s">
        <v>125</v>
      </c>
    </row>
    <row r="77" spans="2:5" ht="24.75" customHeight="1" thickBot="1">
      <c r="B77" s="142" t="s">
        <v>126</v>
      </c>
      <c r="C77" s="238" t="s">
        <v>63</v>
      </c>
      <c r="D77" s="239"/>
      <c r="E77" s="141" t="s">
        <v>127</v>
      </c>
    </row>
    <row r="78" spans="2:5" ht="26.25" customHeight="1" thickBot="1">
      <c r="B78" s="142" t="s">
        <v>128</v>
      </c>
      <c r="C78" s="238" t="s">
        <v>129</v>
      </c>
      <c r="D78" s="239"/>
      <c r="E78" s="141" t="s">
        <v>130</v>
      </c>
    </row>
    <row r="79" spans="2:5" ht="21" customHeight="1" thickBot="1">
      <c r="B79" s="142" t="s">
        <v>131</v>
      </c>
      <c r="C79" s="238" t="s">
        <v>69</v>
      </c>
      <c r="D79" s="239"/>
      <c r="E79" s="141" t="s">
        <v>132</v>
      </c>
    </row>
    <row r="82" spans="2:5" ht="19.5" thickBot="1">
      <c r="B82" s="10" t="s">
        <v>133</v>
      </c>
      <c r="C82" s="9"/>
      <c r="D82" s="9"/>
      <c r="E82" s="9"/>
    </row>
    <row r="83" spans="2:5" ht="16.5" thickBot="1"/>
    <row r="84" spans="2:5" ht="174" customHeight="1" thickBot="1">
      <c r="B84" s="11" t="s">
        <v>134</v>
      </c>
      <c r="C84" s="248" t="s">
        <v>135</v>
      </c>
      <c r="D84" s="216"/>
      <c r="E84" s="216"/>
    </row>
    <row r="85" spans="2:5" ht="32.25" thickBot="1">
      <c r="B85" s="11" t="s">
        <v>136</v>
      </c>
      <c r="C85" s="249" t="s">
        <v>137</v>
      </c>
      <c r="D85" s="249"/>
      <c r="E85" s="249"/>
    </row>
    <row r="86" spans="2:5" ht="16.5" thickBot="1">
      <c r="B86" s="7" t="s">
        <v>138</v>
      </c>
      <c r="C86" s="248" t="s">
        <v>139</v>
      </c>
      <c r="D86" s="216"/>
      <c r="E86" s="216"/>
    </row>
    <row r="87" spans="2:5" ht="16.5" thickBot="1">
      <c r="B87" s="250" t="s">
        <v>140</v>
      </c>
      <c r="C87" s="251"/>
      <c r="D87" s="251"/>
      <c r="E87" s="252"/>
    </row>
    <row r="88" spans="2:5" ht="82.5" customHeight="1" thickBot="1">
      <c r="B88" s="57" t="s">
        <v>141</v>
      </c>
      <c r="C88" s="241" t="s">
        <v>142</v>
      </c>
      <c r="D88" s="242"/>
      <c r="E88" s="243"/>
    </row>
    <row r="89" spans="2:5" ht="90" customHeight="1" thickBot="1">
      <c r="B89" s="57" t="s">
        <v>143</v>
      </c>
      <c r="C89" s="241" t="s">
        <v>144</v>
      </c>
      <c r="D89" s="242"/>
      <c r="E89" s="243"/>
    </row>
    <row r="90" spans="2:5" ht="102.75" customHeight="1" thickBot="1">
      <c r="B90" s="57" t="s">
        <v>145</v>
      </c>
      <c r="C90" s="241" t="s">
        <v>146</v>
      </c>
      <c r="D90" s="242"/>
      <c r="E90" s="243"/>
    </row>
    <row r="91" spans="2:5" ht="41.25" customHeight="1" thickBot="1">
      <c r="B91" s="57" t="s">
        <v>147</v>
      </c>
      <c r="C91" s="241" t="s">
        <v>148</v>
      </c>
      <c r="D91" s="242"/>
      <c r="E91" s="243"/>
    </row>
    <row r="92" spans="2:5" ht="69.75" customHeight="1" thickBot="1">
      <c r="B92" s="57" t="s">
        <v>149</v>
      </c>
      <c r="C92" s="241" t="s">
        <v>150</v>
      </c>
      <c r="D92" s="242"/>
      <c r="E92" s="243"/>
    </row>
    <row r="93" spans="2:5" ht="54.75" customHeight="1" thickBot="1">
      <c r="B93" s="67" t="s">
        <v>151</v>
      </c>
      <c r="C93" s="245" t="s">
        <v>152</v>
      </c>
      <c r="D93" s="246"/>
      <c r="E93" s="247"/>
    </row>
    <row r="94" spans="2:5" ht="17.25" customHeight="1"/>
    <row r="96" spans="2:5" ht="19.5" thickBot="1">
      <c r="B96" s="10" t="s">
        <v>153</v>
      </c>
      <c r="C96" s="9"/>
      <c r="D96" s="9"/>
      <c r="E96" s="9"/>
    </row>
    <row r="97" spans="2:5" ht="16.5" thickBot="1"/>
    <row r="98" spans="2:5" ht="16.5" thickBot="1">
      <c r="B98" s="244" t="s">
        <v>154</v>
      </c>
      <c r="C98" s="244"/>
      <c r="D98" s="244"/>
      <c r="E98" s="244"/>
    </row>
    <row r="99" spans="2:5" ht="16.5" thickBot="1">
      <c r="B99" s="7" t="s">
        <v>155</v>
      </c>
      <c r="C99" s="216" t="s">
        <v>47</v>
      </c>
      <c r="D99" s="216"/>
      <c r="E99" s="216"/>
    </row>
    <row r="100" spans="2:5" ht="16.5" thickBot="1">
      <c r="B100" s="7" t="s">
        <v>45</v>
      </c>
      <c r="C100" s="216" t="s">
        <v>5</v>
      </c>
      <c r="D100" s="216"/>
      <c r="E100" s="216"/>
    </row>
    <row r="101" spans="2:5" ht="16.5" thickBot="1">
      <c r="B101" s="7" t="s">
        <v>156</v>
      </c>
      <c r="C101" s="216" t="s">
        <v>157</v>
      </c>
      <c r="D101" s="216"/>
      <c r="E101" s="216"/>
    </row>
    <row r="102" spans="2:5" ht="16.5" thickBot="1">
      <c r="B102" s="7" t="s">
        <v>158</v>
      </c>
      <c r="C102" s="216">
        <v>25870162</v>
      </c>
      <c r="D102" s="216"/>
      <c r="E102" s="216"/>
    </row>
    <row r="103" spans="2:5" ht="16.5" thickBot="1">
      <c r="B103" s="7" t="s">
        <v>46</v>
      </c>
      <c r="C103" s="240" t="s">
        <v>159</v>
      </c>
      <c r="D103" s="216"/>
      <c r="E103" s="216"/>
    </row>
    <row r="104" spans="2:5" ht="16.5" thickBot="1"/>
    <row r="105" spans="2:5" ht="16.5" thickBot="1">
      <c r="B105" s="244" t="s">
        <v>160</v>
      </c>
      <c r="C105" s="244"/>
      <c r="D105" s="244"/>
      <c r="E105" s="244"/>
    </row>
    <row r="106" spans="2:5" ht="16.5" thickBot="1">
      <c r="B106" s="7" t="s">
        <v>155</v>
      </c>
      <c r="C106" s="216" t="s">
        <v>49</v>
      </c>
      <c r="D106" s="216"/>
      <c r="E106" s="216"/>
    </row>
    <row r="107" spans="2:5" ht="16.5" thickBot="1">
      <c r="B107" s="7" t="s">
        <v>45</v>
      </c>
      <c r="C107" s="216" t="str">
        <f>C100</f>
        <v>Municipalidad de Belén</v>
      </c>
      <c r="D107" s="216"/>
      <c r="E107" s="216"/>
    </row>
    <row r="108" spans="2:5" ht="16.5" thickBot="1">
      <c r="B108" s="7" t="s">
        <v>156</v>
      </c>
      <c r="C108" s="216" t="s">
        <v>161</v>
      </c>
      <c r="D108" s="216"/>
      <c r="E108" s="216"/>
    </row>
    <row r="109" spans="2:5" ht="16.5" thickBot="1">
      <c r="B109" s="7" t="s">
        <v>158</v>
      </c>
      <c r="C109" s="216">
        <v>25870208</v>
      </c>
      <c r="D109" s="216"/>
      <c r="E109" s="216"/>
    </row>
    <row r="110" spans="2:5" ht="16.5" thickBot="1">
      <c r="B110" s="7" t="s">
        <v>46</v>
      </c>
      <c r="C110" s="240" t="s">
        <v>50</v>
      </c>
      <c r="D110" s="216"/>
      <c r="E110" s="216"/>
    </row>
    <row r="111" spans="2:5" ht="16.5" thickBot="1"/>
    <row r="112" spans="2:5" ht="16.5" thickBot="1">
      <c r="B112" s="244" t="s">
        <v>162</v>
      </c>
      <c r="C112" s="244"/>
      <c r="D112" s="244"/>
      <c r="E112" s="244"/>
    </row>
    <row r="113" spans="2:5" ht="16.5" thickBot="1">
      <c r="B113" s="7" t="s">
        <v>155</v>
      </c>
      <c r="C113" s="216" t="s">
        <v>163</v>
      </c>
      <c r="D113" s="216"/>
      <c r="E113" s="216"/>
    </row>
    <row r="114" spans="2:5" ht="16.5" thickBot="1">
      <c r="B114" s="7" t="s">
        <v>45</v>
      </c>
      <c r="C114" s="216" t="s">
        <v>164</v>
      </c>
      <c r="D114" s="216"/>
      <c r="E114" s="216"/>
    </row>
    <row r="115" spans="2:5" ht="16.5" thickBot="1">
      <c r="B115" s="7" t="s">
        <v>156</v>
      </c>
      <c r="C115" s="216" t="s">
        <v>165</v>
      </c>
      <c r="D115" s="216"/>
      <c r="E115" s="216"/>
    </row>
    <row r="116" spans="2:5" ht="16.5" thickBot="1">
      <c r="B116" s="7" t="s">
        <v>158</v>
      </c>
      <c r="C116" s="216">
        <v>88268680</v>
      </c>
      <c r="D116" s="216"/>
      <c r="E116" s="216"/>
    </row>
    <row r="117" spans="2:5" ht="16.5" thickBot="1">
      <c r="B117" s="7" t="s">
        <v>46</v>
      </c>
      <c r="C117" s="240" t="s">
        <v>166</v>
      </c>
      <c r="D117" s="216"/>
      <c r="E117" s="216"/>
    </row>
  </sheetData>
  <mergeCells count="75">
    <mergeCell ref="B105:E105"/>
    <mergeCell ref="C106:E106"/>
    <mergeCell ref="C107:E107"/>
    <mergeCell ref="C108:E108"/>
    <mergeCell ref="C109:E109"/>
    <mergeCell ref="C88:E88"/>
    <mergeCell ref="C89:E89"/>
    <mergeCell ref="C92:E92"/>
    <mergeCell ref="C10:E10"/>
    <mergeCell ref="C5:E5"/>
    <mergeCell ref="C6:E6"/>
    <mergeCell ref="C7:E7"/>
    <mergeCell ref="C8:E8"/>
    <mergeCell ref="C9:E9"/>
    <mergeCell ref="C11:E11"/>
    <mergeCell ref="C12:E12"/>
    <mergeCell ref="C13:E13"/>
    <mergeCell ref="C14:E14"/>
    <mergeCell ref="C15:E15"/>
    <mergeCell ref="C16:E16"/>
    <mergeCell ref="C17:E17"/>
    <mergeCell ref="B22:E43"/>
    <mergeCell ref="C84:E84"/>
    <mergeCell ref="C85:E85"/>
    <mergeCell ref="C86:E86"/>
    <mergeCell ref="B87:E87"/>
    <mergeCell ref="C47:D47"/>
    <mergeCell ref="C48:D48"/>
    <mergeCell ref="C49:D49"/>
    <mergeCell ref="C50:D50"/>
    <mergeCell ref="C51:D51"/>
    <mergeCell ref="C52:D52"/>
    <mergeCell ref="C53:D53"/>
    <mergeCell ref="C54:D54"/>
    <mergeCell ref="C55:D55"/>
    <mergeCell ref="C56:D56"/>
    <mergeCell ref="C57:D57"/>
    <mergeCell ref="C115:E115"/>
    <mergeCell ref="C116:E116"/>
    <mergeCell ref="C117:E117"/>
    <mergeCell ref="C90:E90"/>
    <mergeCell ref="C91:E91"/>
    <mergeCell ref="B112:E112"/>
    <mergeCell ref="C113:E113"/>
    <mergeCell ref="C114:E114"/>
    <mergeCell ref="C103:E103"/>
    <mergeCell ref="B98:E98"/>
    <mergeCell ref="C93:E93"/>
    <mergeCell ref="C99:E99"/>
    <mergeCell ref="C100:E100"/>
    <mergeCell ref="C101:E101"/>
    <mergeCell ref="C102:E102"/>
    <mergeCell ref="C110:E110"/>
    <mergeCell ref="C58:D58"/>
    <mergeCell ref="C59:D59"/>
    <mergeCell ref="C60:D60"/>
    <mergeCell ref="C61:D61"/>
    <mergeCell ref="C62:D62"/>
    <mergeCell ref="C63:D63"/>
    <mergeCell ref="C64:D64"/>
    <mergeCell ref="C65:D65"/>
    <mergeCell ref="C66:D66"/>
    <mergeCell ref="C67:D67"/>
    <mergeCell ref="C68:D68"/>
    <mergeCell ref="C69:D69"/>
    <mergeCell ref="C70:D70"/>
    <mergeCell ref="C71:D71"/>
    <mergeCell ref="C72:D72"/>
    <mergeCell ref="C78:D78"/>
    <mergeCell ref="C79:D79"/>
    <mergeCell ref="C73:D73"/>
    <mergeCell ref="C74:D74"/>
    <mergeCell ref="C75:D75"/>
    <mergeCell ref="C76:D76"/>
    <mergeCell ref="C77:D77"/>
  </mergeCells>
  <hyperlinks>
    <hyperlink ref="B1" location="'Información general'!A1" display="Inicio" xr:uid="{00000000-0004-0000-0100-000000000000}"/>
    <hyperlink ref="C117" r:id="rId1" xr:uid="{D7DF513A-3178-44A9-87B6-FBB7A3AC57CF}"/>
    <hyperlink ref="C103" r:id="rId2" xr:uid="{CE648DA2-353C-40E0-823C-B2FE75B5EDBB}"/>
    <hyperlink ref="C110" r:id="rId3" xr:uid="{C23BB0C7-99EE-4663-905F-406ECD24DA2F}"/>
  </hyperlinks>
  <pageMargins left="0.7" right="0.7" top="0.75" bottom="0.75" header="0.3" footer="0.3"/>
  <pageSetup orientation="portrait" r:id="rId4"/>
  <drawing r:id="rId5"/>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9" tint="0.39997558519241921"/>
  </sheetPr>
  <dimension ref="A1:J18"/>
  <sheetViews>
    <sheetView showGridLines="0" zoomScale="60" zoomScaleNormal="60" workbookViewId="0">
      <selection activeCell="R18" sqref="R18"/>
    </sheetView>
  </sheetViews>
  <sheetFormatPr defaultColWidth="11.42578125" defaultRowHeight="15.75"/>
  <cols>
    <col min="1" max="1" width="11.42578125" style="1"/>
    <col min="2" max="2" width="47.28515625" style="1" customWidth="1"/>
    <col min="3" max="3" width="46.5703125" style="1" customWidth="1"/>
    <col min="4" max="4" width="16.42578125" style="1" customWidth="1"/>
    <col min="5" max="6" width="45.42578125" style="1" customWidth="1"/>
    <col min="7" max="7" width="23.140625" style="1" customWidth="1"/>
    <col min="8" max="8" width="34.85546875" style="1" customWidth="1"/>
    <col min="9" max="9" width="42.85546875" style="1" customWidth="1"/>
    <col min="10" max="10" width="36.7109375" style="1" customWidth="1"/>
    <col min="11" max="16384" width="11.42578125" style="1"/>
  </cols>
  <sheetData>
    <row r="1" spans="1:10" ht="18.75">
      <c r="B1" s="66" t="s">
        <v>21</v>
      </c>
    </row>
    <row r="3" spans="1:10" ht="19.5" thickBot="1">
      <c r="B3" s="10" t="s">
        <v>167</v>
      </c>
      <c r="C3" s="9"/>
      <c r="D3" s="9"/>
      <c r="E3" s="9"/>
      <c r="F3" s="9"/>
      <c r="G3" s="9"/>
      <c r="H3" s="9"/>
      <c r="I3" s="9"/>
    </row>
    <row r="4" spans="1:10" ht="16.5" thickBot="1"/>
    <row r="5" spans="1:10" ht="16.5" thickBot="1">
      <c r="B5" s="8" t="s">
        <v>168</v>
      </c>
      <c r="C5" s="8" t="s">
        <v>169</v>
      </c>
      <c r="D5" s="8" t="s">
        <v>170</v>
      </c>
      <c r="E5" s="8" t="s">
        <v>171</v>
      </c>
      <c r="F5" s="8" t="s">
        <v>156</v>
      </c>
      <c r="G5" s="8" t="s">
        <v>158</v>
      </c>
      <c r="H5" s="8" t="s">
        <v>46</v>
      </c>
      <c r="I5" s="8" t="s">
        <v>172</v>
      </c>
      <c r="J5" s="8" t="s">
        <v>173</v>
      </c>
    </row>
    <row r="6" spans="1:10" ht="48" hidden="1" thickBot="1">
      <c r="A6" s="12" t="s">
        <v>174</v>
      </c>
      <c r="B6" s="13" t="s">
        <v>175</v>
      </c>
      <c r="C6" s="13" t="s">
        <v>176</v>
      </c>
      <c r="D6" s="13">
        <v>2017</v>
      </c>
      <c r="E6" s="13" t="s">
        <v>177</v>
      </c>
      <c r="F6" s="13" t="s">
        <v>178</v>
      </c>
      <c r="G6" s="13">
        <v>23456788</v>
      </c>
      <c r="H6" s="14" t="s">
        <v>179</v>
      </c>
      <c r="I6" s="14" t="s">
        <v>180</v>
      </c>
      <c r="J6" s="68" t="s">
        <v>181</v>
      </c>
    </row>
    <row r="7" spans="1:10" ht="72" customHeight="1" thickBot="1">
      <c r="B7" s="143" t="s">
        <v>182</v>
      </c>
      <c r="C7" s="142" t="s">
        <v>5</v>
      </c>
      <c r="D7" s="5">
        <v>2021</v>
      </c>
      <c r="E7" s="142" t="s">
        <v>49</v>
      </c>
      <c r="F7" s="57" t="s">
        <v>161</v>
      </c>
      <c r="G7" s="57">
        <v>25870161</v>
      </c>
      <c r="H7" s="75" t="s">
        <v>50</v>
      </c>
      <c r="I7" s="114" t="s">
        <v>183</v>
      </c>
      <c r="J7" s="57" t="s">
        <v>184</v>
      </c>
    </row>
    <row r="8" spans="1:10" ht="73.5" customHeight="1" thickBot="1">
      <c r="B8" s="5" t="s">
        <v>185</v>
      </c>
      <c r="C8" s="5" t="s">
        <v>186</v>
      </c>
      <c r="D8" s="5">
        <v>2021</v>
      </c>
      <c r="E8" s="5" t="s">
        <v>187</v>
      </c>
      <c r="F8" s="5" t="s">
        <v>188</v>
      </c>
      <c r="G8" s="5">
        <v>25503568</v>
      </c>
      <c r="H8" s="75" t="s">
        <v>189</v>
      </c>
      <c r="I8" s="114" t="s">
        <v>190</v>
      </c>
      <c r="J8" s="57" t="s">
        <v>191</v>
      </c>
    </row>
    <row r="9" spans="1:10" ht="56.25" customHeight="1" thickBot="1">
      <c r="B9" s="57" t="s">
        <v>192</v>
      </c>
      <c r="C9" s="5" t="s">
        <v>193</v>
      </c>
      <c r="D9" s="5">
        <v>2021</v>
      </c>
      <c r="E9" s="5" t="s">
        <v>194</v>
      </c>
      <c r="F9" s="57" t="s">
        <v>195</v>
      </c>
      <c r="G9" s="5" t="s">
        <v>196</v>
      </c>
      <c r="H9" s="75" t="s">
        <v>197</v>
      </c>
      <c r="I9" s="114" t="s">
        <v>198</v>
      </c>
      <c r="J9" s="57" t="s">
        <v>199</v>
      </c>
    </row>
    <row r="10" spans="1:10" ht="58.5" customHeight="1" thickBot="1">
      <c r="B10" s="5" t="s">
        <v>200</v>
      </c>
      <c r="C10" s="5" t="s">
        <v>83</v>
      </c>
      <c r="D10" s="5">
        <v>2021</v>
      </c>
      <c r="E10" s="5" t="s">
        <v>201</v>
      </c>
      <c r="F10" s="5" t="s">
        <v>202</v>
      </c>
      <c r="G10" s="5" t="s">
        <v>203</v>
      </c>
      <c r="H10" s="75" t="s">
        <v>204</v>
      </c>
      <c r="I10" s="114" t="s">
        <v>205</v>
      </c>
      <c r="J10" s="57" t="s">
        <v>206</v>
      </c>
    </row>
    <row r="11" spans="1:10" ht="71.25" customHeight="1" thickBot="1">
      <c r="B11" s="5" t="s">
        <v>207</v>
      </c>
      <c r="C11" s="5" t="s">
        <v>83</v>
      </c>
      <c r="D11" s="5">
        <v>2021</v>
      </c>
      <c r="E11" s="5" t="s">
        <v>201</v>
      </c>
      <c r="F11" s="5" t="s">
        <v>202</v>
      </c>
      <c r="G11" s="5" t="s">
        <v>203</v>
      </c>
      <c r="H11" s="75" t="s">
        <v>204</v>
      </c>
      <c r="I11" s="114" t="s">
        <v>205</v>
      </c>
      <c r="J11" s="57" t="s">
        <v>208</v>
      </c>
    </row>
    <row r="12" spans="1:10" ht="59.25" customHeight="1" thickBot="1">
      <c r="B12" s="5" t="s">
        <v>209</v>
      </c>
      <c r="C12" s="264" t="s">
        <v>210</v>
      </c>
      <c r="D12" s="264">
        <v>2021</v>
      </c>
      <c r="E12" s="264" t="s">
        <v>211</v>
      </c>
      <c r="F12" s="264" t="s">
        <v>212</v>
      </c>
      <c r="G12" s="264">
        <v>22390864</v>
      </c>
      <c r="H12" s="262" t="s">
        <v>213</v>
      </c>
      <c r="I12" s="114" t="s">
        <v>214</v>
      </c>
      <c r="J12" s="57" t="s">
        <v>215</v>
      </c>
    </row>
    <row r="13" spans="1:10" ht="59.25" customHeight="1" thickBot="1">
      <c r="B13" s="5" t="s">
        <v>216</v>
      </c>
      <c r="C13" s="265"/>
      <c r="D13" s="265"/>
      <c r="E13" s="265"/>
      <c r="F13" s="265"/>
      <c r="G13" s="265"/>
      <c r="H13" s="263"/>
      <c r="I13" s="114" t="s">
        <v>217</v>
      </c>
      <c r="J13" s="57" t="s">
        <v>218</v>
      </c>
    </row>
    <row r="14" spans="1:10" ht="72.75" customHeight="1" thickBot="1">
      <c r="B14" s="57" t="s">
        <v>219</v>
      </c>
      <c r="C14" s="5" t="s">
        <v>220</v>
      </c>
      <c r="D14" s="5">
        <v>2021</v>
      </c>
      <c r="E14" s="5" t="s">
        <v>221</v>
      </c>
      <c r="F14" s="5" t="s">
        <v>222</v>
      </c>
      <c r="G14" s="5">
        <v>88177309</v>
      </c>
      <c r="H14" s="75" t="s">
        <v>223</v>
      </c>
      <c r="I14" s="114" t="s">
        <v>224</v>
      </c>
      <c r="J14" s="57" t="s">
        <v>225</v>
      </c>
    </row>
    <row r="15" spans="1:10" ht="71.25" customHeight="1" thickBot="1">
      <c r="B15" s="57" t="s">
        <v>219</v>
      </c>
      <c r="C15" s="5" t="s">
        <v>226</v>
      </c>
      <c r="D15" s="5">
        <v>2021</v>
      </c>
      <c r="E15" s="5" t="s">
        <v>227</v>
      </c>
      <c r="F15" s="5" t="s">
        <v>228</v>
      </c>
      <c r="G15" s="5">
        <v>22960086</v>
      </c>
      <c r="H15" s="75" t="s">
        <v>229</v>
      </c>
      <c r="I15" s="114" t="s">
        <v>230</v>
      </c>
      <c r="J15" s="57" t="s">
        <v>225</v>
      </c>
    </row>
    <row r="16" spans="1:10" ht="80.25" customHeight="1" thickBot="1">
      <c r="B16" s="57" t="s">
        <v>231</v>
      </c>
      <c r="C16" s="5" t="s">
        <v>232</v>
      </c>
      <c r="D16" s="5">
        <v>2021</v>
      </c>
      <c r="E16" s="5" t="s">
        <v>233</v>
      </c>
      <c r="F16" s="5" t="s">
        <v>234</v>
      </c>
      <c r="G16" s="5" t="s">
        <v>235</v>
      </c>
      <c r="H16" s="75" t="s">
        <v>236</v>
      </c>
      <c r="I16" s="114" t="s">
        <v>237</v>
      </c>
      <c r="J16" s="57" t="s">
        <v>238</v>
      </c>
    </row>
    <row r="17" spans="2:10" ht="63" customHeight="1" thickBot="1">
      <c r="B17" s="5" t="s">
        <v>239</v>
      </c>
      <c r="C17" s="5" t="s">
        <v>240</v>
      </c>
      <c r="D17" s="5">
        <v>2021</v>
      </c>
      <c r="E17" s="5" t="s">
        <v>241</v>
      </c>
      <c r="F17" s="5" t="s">
        <v>242</v>
      </c>
      <c r="G17" s="5">
        <v>25871698</v>
      </c>
      <c r="H17" s="75" t="s">
        <v>243</v>
      </c>
      <c r="I17" s="114" t="s">
        <v>244</v>
      </c>
      <c r="J17" s="57" t="s">
        <v>245</v>
      </c>
    </row>
    <row r="18" spans="2:10" ht="96" customHeight="1" thickBot="1">
      <c r="B18" s="57" t="s">
        <v>246</v>
      </c>
      <c r="C18" s="5" t="s">
        <v>247</v>
      </c>
      <c r="D18" s="5">
        <v>2021</v>
      </c>
      <c r="E18" s="5" t="s">
        <v>248</v>
      </c>
      <c r="F18" s="5" t="s">
        <v>249</v>
      </c>
      <c r="G18" s="5">
        <v>20008117</v>
      </c>
      <c r="H18" s="75" t="s">
        <v>250</v>
      </c>
      <c r="I18" s="114" t="s">
        <v>251</v>
      </c>
      <c r="J18" s="57" t="s">
        <v>252</v>
      </c>
    </row>
  </sheetData>
  <mergeCells count="6">
    <mergeCell ref="H12:H13"/>
    <mergeCell ref="C12:C13"/>
    <mergeCell ref="D12:D13"/>
    <mergeCell ref="E12:E13"/>
    <mergeCell ref="F12:F13"/>
    <mergeCell ref="G12:G13"/>
  </mergeCells>
  <hyperlinks>
    <hyperlink ref="H6" r:id="rId1" xr:uid="{00000000-0004-0000-0200-000000000000}"/>
    <hyperlink ref="I6" r:id="rId2" xr:uid="{00000000-0004-0000-0200-000001000000}"/>
    <hyperlink ref="B1" location="'Información general'!A1" display="Inicio" xr:uid="{00000000-0004-0000-0200-000002000000}"/>
    <hyperlink ref="H7" r:id="rId3" xr:uid="{D28E4B78-D9DF-438C-BAA2-C9F8BB40C1A2}"/>
    <hyperlink ref="I7" r:id="rId4" xr:uid="{EFBF9D20-3D30-45CB-8AE0-42ED0B161C91}"/>
    <hyperlink ref="H8" r:id="rId5" xr:uid="{901865D3-FFB8-4F79-AAAC-16C7890F41C1}"/>
    <hyperlink ref="I9" r:id="rId6" xr:uid="{F55BF596-D1D3-49AF-A611-5D62D19DC901}"/>
    <hyperlink ref="I8" r:id="rId7" xr:uid="{0F572298-99CA-4538-8698-4B17114FC29A}"/>
    <hyperlink ref="H10" r:id="rId8" xr:uid="{E9C7BA3C-4C92-480B-8B28-C0E7C09C7BE4}"/>
    <hyperlink ref="I10" r:id="rId9" xr:uid="{F0B62367-D9C9-4155-AC4F-14D7414F3B32}"/>
    <hyperlink ref="H11" r:id="rId10" xr:uid="{26689DA3-AC23-4B64-9507-0A3D0837D480}"/>
    <hyperlink ref="I11" r:id="rId11" xr:uid="{ED3BFCFD-37CD-4E42-8B54-B63D8E6859B1}"/>
    <hyperlink ref="H12" r:id="rId12" xr:uid="{4F8AA331-F740-4BB3-9827-5DF64AD1633A}"/>
    <hyperlink ref="I12" r:id="rId13" xr:uid="{EE5A86FC-74EE-4789-8F39-1C72A53D8535}"/>
    <hyperlink ref="H14" r:id="rId14" xr:uid="{EB31DC1A-C9A2-493F-887A-9109AD3870A4}"/>
    <hyperlink ref="I14" r:id="rId15" xr:uid="{F3EF52E8-183A-40C2-9279-090D8D204AAA}"/>
    <hyperlink ref="H15" r:id="rId16" xr:uid="{5B72E161-0FA3-4643-AEA6-97264840794A}"/>
    <hyperlink ref="I15" r:id="rId17" xr:uid="{6D22DBF7-E0DE-41DF-A90B-9B8E8ACFF606}"/>
    <hyperlink ref="H16" r:id="rId18" xr:uid="{1E6FF8BE-82E3-4C1C-9AEB-184C6CD9DCF8}"/>
    <hyperlink ref="I16" r:id="rId19" xr:uid="{FA0C8EF8-81DF-4217-80E3-283CBB37E04C}"/>
    <hyperlink ref="H17" r:id="rId20" xr:uid="{0595B105-F180-4368-B74A-7E51E4DD5E5E}"/>
    <hyperlink ref="I17" r:id="rId21" xr:uid="{2383ED4A-5112-4393-953A-C2C1C9A2C1B4}"/>
    <hyperlink ref="I13" r:id="rId22" xr:uid="{B9EEAB28-BB85-42B6-B760-23D7852508EA}"/>
    <hyperlink ref="H18" r:id="rId23" xr:uid="{21138A02-E0D0-443C-9E7E-24EE471FE370}"/>
    <hyperlink ref="I18" r:id="rId24" xr:uid="{621820F5-4F28-4525-A318-911B51FB1EC2}"/>
  </hyperlinks>
  <pageMargins left="0.7" right="0.7" top="0.75" bottom="0.75" header="0.3" footer="0.3"/>
  <legacyDrawing r:id="rId25"/>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9" tint="0.39997558519241921"/>
  </sheetPr>
  <dimension ref="B1:H287"/>
  <sheetViews>
    <sheetView showGridLines="0" topLeftCell="A34" zoomScaleNormal="100" workbookViewId="0">
      <selection activeCell="C34" sqref="C34"/>
    </sheetView>
  </sheetViews>
  <sheetFormatPr defaultColWidth="11.42578125" defaultRowHeight="15.75"/>
  <cols>
    <col min="1" max="1" width="11.42578125" style="1"/>
    <col min="2" max="2" width="13" style="1" customWidth="1"/>
    <col min="3" max="3" width="51.7109375" style="1" bestFit="1" customWidth="1"/>
    <col min="4" max="4" width="42.42578125" style="1" bestFit="1" customWidth="1"/>
    <col min="5" max="5" width="18.140625" style="1" bestFit="1" customWidth="1"/>
    <col min="6" max="6" width="9.85546875" style="1" bestFit="1" customWidth="1"/>
    <col min="7" max="7" width="13.5703125" style="1" bestFit="1" customWidth="1"/>
    <col min="8" max="8" width="25.42578125" style="1" customWidth="1"/>
    <col min="9" max="16384" width="11.42578125" style="1"/>
  </cols>
  <sheetData>
    <row r="1" spans="2:8" ht="18.75">
      <c r="C1" s="66" t="s">
        <v>21</v>
      </c>
    </row>
    <row r="3" spans="2:8" ht="19.5" thickBot="1">
      <c r="C3" s="10" t="s">
        <v>253</v>
      </c>
      <c r="D3" s="9"/>
      <c r="E3" s="9"/>
      <c r="F3" s="9"/>
      <c r="G3" s="9"/>
      <c r="H3" s="9"/>
    </row>
    <row r="4" spans="2:8" ht="16.5" thickBot="1"/>
    <row r="5" spans="2:8" ht="16.5" thickBot="1">
      <c r="C5" s="266" t="s">
        <v>254</v>
      </c>
      <c r="D5" s="266"/>
      <c r="E5" s="266"/>
      <c r="F5" s="266"/>
      <c r="G5" s="266"/>
      <c r="H5" s="266"/>
    </row>
    <row r="6" spans="2:8" ht="16.5" thickBot="1">
      <c r="C6" s="267" t="s">
        <v>255</v>
      </c>
      <c r="D6" s="267" t="s">
        <v>256</v>
      </c>
      <c r="E6" s="267" t="s">
        <v>257</v>
      </c>
      <c r="F6" s="267"/>
      <c r="G6" s="267"/>
      <c r="H6" s="267" t="s">
        <v>258</v>
      </c>
    </row>
    <row r="7" spans="2:8" ht="16.5" thickBot="1">
      <c r="C7" s="267"/>
      <c r="D7" s="267"/>
      <c r="E7" s="15" t="s">
        <v>259</v>
      </c>
      <c r="F7" s="15" t="s">
        <v>260</v>
      </c>
      <c r="G7" s="16" t="s">
        <v>261</v>
      </c>
      <c r="H7" s="267"/>
    </row>
    <row r="8" spans="2:8" ht="16.5" customHeight="1" thickBot="1">
      <c r="B8" s="292" t="s">
        <v>145</v>
      </c>
      <c r="C8" s="17" t="s">
        <v>262</v>
      </c>
      <c r="D8" s="18" t="s">
        <v>263</v>
      </c>
      <c r="E8" s="79">
        <v>5.1900000000000002E-2</v>
      </c>
      <c r="F8" s="20" t="s">
        <v>264</v>
      </c>
      <c r="G8" s="28" t="s">
        <v>264</v>
      </c>
      <c r="H8" s="271" t="s">
        <v>265</v>
      </c>
    </row>
    <row r="9" spans="2:8" ht="16.5" thickBot="1">
      <c r="B9" s="292"/>
      <c r="C9" s="17" t="s">
        <v>266</v>
      </c>
      <c r="D9" s="18" t="s">
        <v>267</v>
      </c>
      <c r="E9" s="19">
        <f>4/1000</f>
        <v>4.0000000000000001E-3</v>
      </c>
      <c r="F9" s="20" t="s">
        <v>264</v>
      </c>
      <c r="G9" s="79">
        <f>0.24/1000</f>
        <v>2.3999999999999998E-4</v>
      </c>
      <c r="H9" s="272"/>
    </row>
    <row r="10" spans="2:8" ht="16.5" thickBot="1">
      <c r="B10" s="292"/>
      <c r="C10" s="17" t="s">
        <v>268</v>
      </c>
      <c r="D10" s="18" t="s">
        <v>269</v>
      </c>
      <c r="E10" s="19">
        <f>2/1000</f>
        <v>2E-3</v>
      </c>
      <c r="F10" s="20" t="s">
        <v>264</v>
      </c>
      <c r="G10" s="28" t="s">
        <v>264</v>
      </c>
      <c r="H10" s="272"/>
    </row>
    <row r="11" spans="2:8" ht="16.5" thickBot="1">
      <c r="B11" s="292"/>
      <c r="C11" s="17" t="s">
        <v>270</v>
      </c>
      <c r="D11" s="18" t="s">
        <v>271</v>
      </c>
      <c r="E11" s="19">
        <v>1.752</v>
      </c>
      <c r="F11" s="20" t="s">
        <v>264</v>
      </c>
      <c r="G11" s="28" t="s">
        <v>264</v>
      </c>
      <c r="H11" s="272"/>
    </row>
    <row r="12" spans="2:8" ht="16.5" thickBot="1">
      <c r="B12" s="292"/>
      <c r="C12" s="17" t="s">
        <v>272</v>
      </c>
      <c r="D12" s="18" t="s">
        <v>271</v>
      </c>
      <c r="E12" s="19">
        <v>4.38</v>
      </c>
      <c r="F12" s="20" t="s">
        <v>264</v>
      </c>
      <c r="G12" s="28" t="s">
        <v>264</v>
      </c>
      <c r="H12" s="272"/>
    </row>
    <row r="13" spans="2:8" ht="16.5" thickBot="1">
      <c r="B13" s="292"/>
      <c r="C13" s="17" t="s">
        <v>273</v>
      </c>
      <c r="D13" s="18" t="s">
        <v>271</v>
      </c>
      <c r="E13" s="19">
        <v>0.96399999999999997</v>
      </c>
      <c r="F13" s="20" t="s">
        <v>264</v>
      </c>
      <c r="G13" s="28" t="s">
        <v>264</v>
      </c>
      <c r="H13" s="272"/>
    </row>
    <row r="14" spans="2:8" ht="16.5" thickBot="1">
      <c r="B14" s="292"/>
      <c r="C14" s="17" t="s">
        <v>274</v>
      </c>
      <c r="D14" s="18" t="s">
        <v>275</v>
      </c>
      <c r="E14" s="19">
        <v>0.2</v>
      </c>
      <c r="F14" s="20" t="s">
        <v>264</v>
      </c>
      <c r="G14" s="28" t="s">
        <v>264</v>
      </c>
      <c r="H14" s="272"/>
    </row>
    <row r="15" spans="2:8" ht="16.5" thickBot="1">
      <c r="B15" s="292"/>
      <c r="C15" s="17" t="s">
        <v>276</v>
      </c>
      <c r="D15" s="18" t="s">
        <v>275</v>
      </c>
      <c r="E15" s="19">
        <v>0.2</v>
      </c>
      <c r="F15" s="20" t="s">
        <v>264</v>
      </c>
      <c r="G15" s="28" t="s">
        <v>264</v>
      </c>
      <c r="H15" s="272"/>
    </row>
    <row r="16" spans="2:8" ht="16.5" thickBot="1">
      <c r="B16" s="292"/>
      <c r="C16" s="17" t="s">
        <v>277</v>
      </c>
      <c r="D16" s="18" t="s">
        <v>275</v>
      </c>
      <c r="E16" s="19">
        <v>0.05</v>
      </c>
      <c r="F16" s="20" t="s">
        <v>264</v>
      </c>
      <c r="G16" s="28" t="s">
        <v>264</v>
      </c>
      <c r="H16" s="272"/>
    </row>
    <row r="17" spans="2:8" ht="16.5" thickBot="1">
      <c r="B17" s="292"/>
      <c r="C17" s="17" t="s">
        <v>278</v>
      </c>
      <c r="D17" s="18" t="s">
        <v>275</v>
      </c>
      <c r="E17" s="79">
        <v>2.8000000000000001E-2</v>
      </c>
      <c r="F17" s="20" t="s">
        <v>264</v>
      </c>
      <c r="G17" s="28" t="s">
        <v>264</v>
      </c>
      <c r="H17" s="272"/>
    </row>
    <row r="18" spans="2:8" ht="16.5" customHeight="1" thickBot="1">
      <c r="B18" s="302" t="s">
        <v>279</v>
      </c>
      <c r="C18" s="17" t="s">
        <v>280</v>
      </c>
      <c r="D18" s="18" t="s">
        <v>281</v>
      </c>
      <c r="E18" s="21" t="s">
        <v>264</v>
      </c>
      <c r="F18" s="22">
        <v>5.7000000000000002E-2</v>
      </c>
      <c r="G18" s="28" t="s">
        <v>264</v>
      </c>
      <c r="H18" s="272"/>
    </row>
    <row r="19" spans="2:8" ht="16.5" thickBot="1">
      <c r="B19" s="303"/>
      <c r="C19" s="17" t="s">
        <v>282</v>
      </c>
      <c r="D19" s="18" t="s">
        <v>281</v>
      </c>
      <c r="E19" s="21" t="s">
        <v>264</v>
      </c>
      <c r="F19" s="22">
        <v>8.2400000000000001E-2</v>
      </c>
      <c r="G19" s="28" t="s">
        <v>264</v>
      </c>
      <c r="H19" s="272"/>
    </row>
    <row r="20" spans="2:8" ht="16.5" thickBot="1">
      <c r="B20" s="303"/>
      <c r="C20" s="17" t="s">
        <v>283</v>
      </c>
      <c r="D20" s="18" t="s">
        <v>281</v>
      </c>
      <c r="E20" s="21" t="s">
        <v>264</v>
      </c>
      <c r="F20" s="22">
        <v>7.7100000000000002E-2</v>
      </c>
      <c r="G20" s="28" t="s">
        <v>264</v>
      </c>
      <c r="H20" s="272"/>
    </row>
    <row r="21" spans="2:8" ht="16.5" thickBot="1">
      <c r="B21" s="303"/>
      <c r="C21" s="17" t="s">
        <v>284</v>
      </c>
      <c r="D21" s="18" t="s">
        <v>281</v>
      </c>
      <c r="E21" s="21" t="s">
        <v>264</v>
      </c>
      <c r="F21" s="22">
        <v>0.13</v>
      </c>
      <c r="G21" s="28" t="s">
        <v>264</v>
      </c>
      <c r="H21" s="272"/>
    </row>
    <row r="22" spans="2:8" ht="16.5" thickBot="1">
      <c r="B22" s="303"/>
      <c r="C22" s="17" t="s">
        <v>285</v>
      </c>
      <c r="D22" s="18" t="s">
        <v>281</v>
      </c>
      <c r="E22" s="21" t="s">
        <v>264</v>
      </c>
      <c r="F22" s="22">
        <v>0.11700000000000001</v>
      </c>
      <c r="G22" s="28" t="s">
        <v>264</v>
      </c>
      <c r="H22" s="272"/>
    </row>
    <row r="23" spans="2:8" ht="16.5" thickBot="1">
      <c r="B23" s="303"/>
      <c r="C23" s="17" t="s">
        <v>286</v>
      </c>
      <c r="D23" s="18" t="s">
        <v>281</v>
      </c>
      <c r="E23" s="21" t="s">
        <v>264</v>
      </c>
      <c r="F23" s="22">
        <v>3.8100000000000002E-2</v>
      </c>
      <c r="G23" s="28" t="s">
        <v>264</v>
      </c>
      <c r="H23" s="272"/>
    </row>
    <row r="24" spans="2:8" ht="16.5" thickBot="1">
      <c r="B24" s="303"/>
      <c r="C24" s="17" t="s">
        <v>287</v>
      </c>
      <c r="D24" s="18" t="s">
        <v>281</v>
      </c>
      <c r="E24" s="21" t="s">
        <v>264</v>
      </c>
      <c r="F24" s="22">
        <v>5.57E-2</v>
      </c>
      <c r="G24" s="28" t="s">
        <v>264</v>
      </c>
      <c r="H24" s="272"/>
    </row>
    <row r="25" spans="2:8" ht="16.5" thickBot="1">
      <c r="B25" s="303"/>
      <c r="C25" s="17" t="s">
        <v>288</v>
      </c>
      <c r="D25" s="18" t="s">
        <v>281</v>
      </c>
      <c r="E25" s="21" t="s">
        <v>264</v>
      </c>
      <c r="F25" s="22">
        <v>7.5399999999999995E-2</v>
      </c>
      <c r="G25" s="28" t="s">
        <v>289</v>
      </c>
      <c r="H25" s="272"/>
    </row>
    <row r="26" spans="2:8" ht="16.5" thickBot="1">
      <c r="B26" s="303"/>
      <c r="C26" s="17" t="s">
        <v>290</v>
      </c>
      <c r="D26" s="18" t="s">
        <v>281</v>
      </c>
      <c r="E26" s="21" t="s">
        <v>264</v>
      </c>
      <c r="F26" s="22">
        <v>3.95E-2</v>
      </c>
      <c r="G26" s="28" t="s">
        <v>289</v>
      </c>
      <c r="H26" s="272"/>
    </row>
    <row r="27" spans="2:8" ht="16.5" thickBot="1">
      <c r="B27" s="303"/>
      <c r="C27" s="17" t="s">
        <v>291</v>
      </c>
      <c r="D27" s="18" t="s">
        <v>281</v>
      </c>
      <c r="E27" s="21" t="s">
        <v>264</v>
      </c>
      <c r="F27" s="22">
        <v>3.6499999999999998E-2</v>
      </c>
      <c r="G27" s="28" t="s">
        <v>289</v>
      </c>
      <c r="H27" s="272"/>
    </row>
    <row r="28" spans="2:8" ht="16.5" thickBot="1">
      <c r="B28" s="303"/>
      <c r="C28" s="17" t="s">
        <v>292</v>
      </c>
      <c r="D28" s="18" t="s">
        <v>281</v>
      </c>
      <c r="E28" s="21" t="s">
        <v>264</v>
      </c>
      <c r="F28" s="22">
        <v>2.8199999999999999E-2</v>
      </c>
      <c r="G28" s="28" t="s">
        <v>289</v>
      </c>
      <c r="H28" s="272"/>
    </row>
    <row r="29" spans="2:8" ht="16.5" thickBot="1">
      <c r="B29" s="303"/>
      <c r="C29" s="17" t="s">
        <v>293</v>
      </c>
      <c r="D29" s="18" t="s">
        <v>281</v>
      </c>
      <c r="E29" s="21" t="s">
        <v>289</v>
      </c>
      <c r="F29" s="79">
        <v>0.04</v>
      </c>
      <c r="G29" s="28" t="s">
        <v>289</v>
      </c>
      <c r="H29" s="272"/>
    </row>
    <row r="30" spans="2:8" ht="16.5" thickBot="1">
      <c r="B30" s="303"/>
      <c r="C30" s="17" t="s">
        <v>294</v>
      </c>
      <c r="D30" s="18" t="s">
        <v>295</v>
      </c>
      <c r="E30" s="21" t="s">
        <v>264</v>
      </c>
      <c r="F30" s="22">
        <v>2.2309999999999999</v>
      </c>
      <c r="G30" s="28" t="s">
        <v>264</v>
      </c>
      <c r="H30" s="272"/>
    </row>
    <row r="31" spans="2:8" ht="16.5" thickBot="1">
      <c r="B31" s="303"/>
      <c r="C31" s="17" t="s">
        <v>296</v>
      </c>
      <c r="D31" s="18" t="s">
        <v>295</v>
      </c>
      <c r="E31" s="21" t="s">
        <v>264</v>
      </c>
      <c r="F31" s="19">
        <v>2.613</v>
      </c>
      <c r="G31" s="28" t="s">
        <v>264</v>
      </c>
      <c r="H31" s="272"/>
    </row>
    <row r="32" spans="2:8" ht="16.5" thickBot="1">
      <c r="B32" s="303"/>
      <c r="C32" s="17" t="s">
        <v>297</v>
      </c>
      <c r="D32" s="23" t="s">
        <v>295</v>
      </c>
      <c r="E32" s="21" t="s">
        <v>264</v>
      </c>
      <c r="F32" s="19">
        <v>3.101</v>
      </c>
      <c r="G32" s="28" t="s">
        <v>264</v>
      </c>
      <c r="H32" s="272"/>
    </row>
    <row r="33" spans="2:8" ht="16.5" thickBot="1">
      <c r="B33" s="303"/>
      <c r="C33" s="17" t="s">
        <v>298</v>
      </c>
      <c r="D33" s="23" t="s">
        <v>295</v>
      </c>
      <c r="E33" s="21" t="s">
        <v>264</v>
      </c>
      <c r="F33" s="19">
        <v>2.5409999999999999</v>
      </c>
      <c r="G33" s="28" t="s">
        <v>264</v>
      </c>
      <c r="H33" s="272"/>
    </row>
    <row r="34" spans="2:8" ht="16.5" thickBot="1">
      <c r="B34" s="303"/>
      <c r="C34" s="17" t="s">
        <v>299</v>
      </c>
      <c r="D34" s="23" t="s">
        <v>295</v>
      </c>
      <c r="E34" s="21" t="s">
        <v>264</v>
      </c>
      <c r="F34" s="19">
        <v>1.611</v>
      </c>
      <c r="G34" s="28" t="s">
        <v>264</v>
      </c>
      <c r="H34" s="272"/>
    </row>
    <row r="35" spans="2:8" ht="16.5" thickBot="1">
      <c r="B35" s="303"/>
      <c r="C35" s="17" t="s">
        <v>300</v>
      </c>
      <c r="D35" s="23" t="s">
        <v>295</v>
      </c>
      <c r="E35" s="21" t="s">
        <v>264</v>
      </c>
      <c r="F35" s="19">
        <v>2.2269999999999999</v>
      </c>
      <c r="G35" s="28" t="s">
        <v>264</v>
      </c>
      <c r="H35" s="272"/>
    </row>
    <row r="36" spans="2:8" ht="16.5" thickBot="1">
      <c r="B36" s="303"/>
      <c r="C36" s="17" t="s">
        <v>301</v>
      </c>
      <c r="D36" s="23" t="s">
        <v>295</v>
      </c>
      <c r="E36" s="21" t="s">
        <v>264</v>
      </c>
      <c r="F36" s="19">
        <v>2.5049999999999999</v>
      </c>
      <c r="G36" s="28" t="s">
        <v>264</v>
      </c>
      <c r="H36" s="272"/>
    </row>
    <row r="37" spans="2:8" ht="16.5" thickBot="1">
      <c r="B37" s="303"/>
      <c r="C37" s="17" t="s">
        <v>302</v>
      </c>
      <c r="D37" s="23" t="s">
        <v>295</v>
      </c>
      <c r="E37" s="21" t="s">
        <v>289</v>
      </c>
      <c r="F37" s="19">
        <v>2.5489999999999999</v>
      </c>
      <c r="G37" s="28" t="s">
        <v>289</v>
      </c>
      <c r="H37" s="272"/>
    </row>
    <row r="38" spans="2:8" ht="16.5" thickBot="1">
      <c r="B38" s="303"/>
      <c r="C38" s="17" t="s">
        <v>303</v>
      </c>
      <c r="D38" s="23" t="s">
        <v>304</v>
      </c>
      <c r="E38" s="19">
        <f>0.122/1000</f>
        <v>1.22E-4</v>
      </c>
      <c r="F38" s="21" t="s">
        <v>264</v>
      </c>
      <c r="G38" s="29">
        <f>0.02442/1000</f>
        <v>2.442E-5</v>
      </c>
      <c r="H38" s="272"/>
    </row>
    <row r="39" spans="2:8" ht="16.5" thickBot="1">
      <c r="B39" s="303"/>
      <c r="C39" s="17" t="s">
        <v>305</v>
      </c>
      <c r="D39" s="23" t="s">
        <v>304</v>
      </c>
      <c r="E39" s="19">
        <f>0.138/1000</f>
        <v>1.3800000000000002E-4</v>
      </c>
      <c r="F39" s="21" t="s">
        <v>264</v>
      </c>
      <c r="G39" s="29">
        <f>0.02769/1000</f>
        <v>2.7690000000000001E-5</v>
      </c>
      <c r="H39" s="272"/>
    </row>
    <row r="40" spans="2:8" ht="16.5" thickBot="1">
      <c r="B40" s="303"/>
      <c r="C40" s="17" t="s">
        <v>306</v>
      </c>
      <c r="D40" s="23" t="s">
        <v>304</v>
      </c>
      <c r="E40" s="19">
        <f>0.111/1000</f>
        <v>1.11E-4</v>
      </c>
      <c r="F40" s="21" t="s">
        <v>264</v>
      </c>
      <c r="G40" s="29">
        <f>0.02211/1000</f>
        <v>2.211E-5</v>
      </c>
      <c r="H40" s="272"/>
    </row>
    <row r="41" spans="2:8" ht="16.5" thickBot="1">
      <c r="B41" s="303"/>
      <c r="C41" s="17" t="s">
        <v>307</v>
      </c>
      <c r="D41" s="23" t="s">
        <v>304</v>
      </c>
      <c r="E41" s="19">
        <f>0.122/1000</f>
        <v>1.22E-4</v>
      </c>
      <c r="F41" s="21" t="s">
        <v>264</v>
      </c>
      <c r="G41" s="29">
        <f>0.02442/1000</f>
        <v>2.442E-5</v>
      </c>
      <c r="H41" s="272"/>
    </row>
    <row r="42" spans="2:8" ht="16.5" thickBot="1">
      <c r="B42" s="303"/>
      <c r="C42" s="17" t="s">
        <v>308</v>
      </c>
      <c r="D42" s="23" t="s">
        <v>304</v>
      </c>
      <c r="E42" s="19">
        <f>0.138/1000</f>
        <v>1.3800000000000002E-4</v>
      </c>
      <c r="F42" s="21" t="s">
        <v>264</v>
      </c>
      <c r="G42" s="29">
        <f>0.02769/1000</f>
        <v>2.7690000000000001E-5</v>
      </c>
      <c r="H42" s="272"/>
    </row>
    <row r="43" spans="2:8" ht="16.5" thickBot="1">
      <c r="B43" s="303"/>
      <c r="C43" s="17" t="s">
        <v>309</v>
      </c>
      <c r="D43" s="23" t="s">
        <v>304</v>
      </c>
      <c r="E43" s="19">
        <f>0.027/1000</f>
        <v>2.6999999999999999E-5</v>
      </c>
      <c r="F43" s="21" t="s">
        <v>264</v>
      </c>
      <c r="G43" s="29">
        <f>0.002745/1000</f>
        <v>2.745E-6</v>
      </c>
      <c r="H43" s="272"/>
    </row>
    <row r="44" spans="2:8" ht="16.5" thickBot="1">
      <c r="B44" s="303"/>
      <c r="C44" s="17" t="s">
        <v>310</v>
      </c>
      <c r="D44" s="23" t="s">
        <v>304</v>
      </c>
      <c r="E44" s="19">
        <f>0.104/1000</f>
        <v>1.0399999999999999E-4</v>
      </c>
      <c r="F44" s="21" t="s">
        <v>264</v>
      </c>
      <c r="G44" s="29">
        <f>0.021/1000</f>
        <v>2.1000000000000002E-5</v>
      </c>
      <c r="H44" s="272"/>
    </row>
    <row r="45" spans="2:8" ht="16.5" thickBot="1">
      <c r="B45" s="303"/>
      <c r="C45" s="17" t="s">
        <v>311</v>
      </c>
      <c r="D45" s="23" t="s">
        <v>304</v>
      </c>
      <c r="E45" s="19">
        <f>0.346/1000</f>
        <v>3.4599999999999995E-4</v>
      </c>
      <c r="F45" s="21" t="s">
        <v>264</v>
      </c>
      <c r="G45" s="29">
        <f>0.02211/1000</f>
        <v>2.211E-5</v>
      </c>
      <c r="H45" s="272"/>
    </row>
    <row r="46" spans="2:8" ht="16.5" thickBot="1">
      <c r="B46" s="303"/>
      <c r="C46" s="17" t="s">
        <v>312</v>
      </c>
      <c r="D46" s="23" t="s">
        <v>304</v>
      </c>
      <c r="E46" s="19">
        <f>0.382/1000</f>
        <v>3.8200000000000002E-4</v>
      </c>
      <c r="F46" s="21" t="s">
        <v>264</v>
      </c>
      <c r="G46" s="29">
        <f>0.02442/1000</f>
        <v>2.442E-5</v>
      </c>
      <c r="H46" s="272"/>
    </row>
    <row r="47" spans="2:8" ht="16.5" thickBot="1">
      <c r="B47" s="303"/>
      <c r="C47" s="17" t="s">
        <v>313</v>
      </c>
      <c r="D47" s="23" t="s">
        <v>304</v>
      </c>
      <c r="E47" s="19">
        <f>0.433/1000</f>
        <v>4.3300000000000001E-4</v>
      </c>
      <c r="F47" s="21" t="s">
        <v>264</v>
      </c>
      <c r="G47" s="29">
        <f>0.02769/1000</f>
        <v>2.7690000000000001E-5</v>
      </c>
      <c r="H47" s="272"/>
    </row>
    <row r="48" spans="2:8" ht="16.5" thickBot="1">
      <c r="B48" s="303"/>
      <c r="C48" s="17" t="s">
        <v>314</v>
      </c>
      <c r="D48" s="23" t="s">
        <v>304</v>
      </c>
      <c r="E48" s="19">
        <f>0.139/1000</f>
        <v>1.3900000000000002E-4</v>
      </c>
      <c r="F48" s="21" t="s">
        <v>264</v>
      </c>
      <c r="G48" s="29">
        <f>0.002745/1000</f>
        <v>2.745E-6</v>
      </c>
      <c r="H48" s="272"/>
    </row>
    <row r="49" spans="2:8" ht="16.5" thickBot="1">
      <c r="B49" s="303"/>
      <c r="C49" s="17" t="s">
        <v>315</v>
      </c>
      <c r="D49" s="23" t="s">
        <v>304</v>
      </c>
      <c r="E49" s="19">
        <f>0.348/1000</f>
        <v>3.48E-4</v>
      </c>
      <c r="F49" s="21" t="s">
        <v>264</v>
      </c>
      <c r="G49" s="29">
        <f>0.021/1000</f>
        <v>2.1000000000000002E-5</v>
      </c>
      <c r="H49" s="272"/>
    </row>
    <row r="50" spans="2:8" ht="16.5" thickBot="1">
      <c r="B50" s="303"/>
      <c r="C50" s="122" t="s">
        <v>316</v>
      </c>
      <c r="D50" s="123" t="s">
        <v>304</v>
      </c>
      <c r="E50" s="124">
        <f>0.346/1000</f>
        <v>3.4599999999999995E-4</v>
      </c>
      <c r="F50" s="125" t="s">
        <v>264</v>
      </c>
      <c r="G50" s="126">
        <f>0.02211/1000</f>
        <v>2.211E-5</v>
      </c>
      <c r="H50" s="272"/>
    </row>
    <row r="51" spans="2:8" ht="16.5" thickBot="1">
      <c r="B51" s="303"/>
      <c r="C51" s="17" t="s">
        <v>317</v>
      </c>
      <c r="D51" s="23" t="s">
        <v>304</v>
      </c>
      <c r="E51" s="19">
        <f>0.382/1000</f>
        <v>3.8200000000000002E-4</v>
      </c>
      <c r="F51" s="21" t="s">
        <v>264</v>
      </c>
      <c r="G51" s="29">
        <f>0.02442/1000</f>
        <v>2.442E-5</v>
      </c>
      <c r="H51" s="272"/>
    </row>
    <row r="52" spans="2:8" ht="16.5" thickBot="1">
      <c r="B52" s="303"/>
      <c r="C52" s="17" t="s">
        <v>318</v>
      </c>
      <c r="D52" s="23" t="s">
        <v>304</v>
      </c>
      <c r="E52" s="19">
        <f>0.433/1000</f>
        <v>4.3300000000000001E-4</v>
      </c>
      <c r="F52" s="21" t="s">
        <v>264</v>
      </c>
      <c r="G52" s="29">
        <f>0.02769/1000</f>
        <v>2.7690000000000001E-5</v>
      </c>
      <c r="H52" s="272"/>
    </row>
    <row r="53" spans="2:8" ht="16.5" thickBot="1">
      <c r="B53" s="303"/>
      <c r="C53" s="17" t="s">
        <v>319</v>
      </c>
      <c r="D53" s="23" t="s">
        <v>304</v>
      </c>
      <c r="E53" s="19">
        <f>0.139/1000</f>
        <v>1.3900000000000002E-4</v>
      </c>
      <c r="F53" s="21" t="s">
        <v>264</v>
      </c>
      <c r="G53" s="29">
        <f>0.002745/1000</f>
        <v>2.745E-6</v>
      </c>
      <c r="H53" s="272"/>
    </row>
    <row r="54" spans="2:8" ht="16.5" thickBot="1">
      <c r="B54" s="303"/>
      <c r="C54" s="17" t="s">
        <v>320</v>
      </c>
      <c r="D54" s="23" t="s">
        <v>304</v>
      </c>
      <c r="E54" s="19">
        <f>0.348/1000</f>
        <v>3.48E-4</v>
      </c>
      <c r="F54" s="21" t="s">
        <v>289</v>
      </c>
      <c r="G54" s="29">
        <f>0.021/1000</f>
        <v>2.1000000000000002E-5</v>
      </c>
      <c r="H54" s="272"/>
    </row>
    <row r="55" spans="2:8" ht="16.5" thickBot="1">
      <c r="B55" s="303"/>
      <c r="C55" s="17" t="s">
        <v>321</v>
      </c>
      <c r="D55" s="23" t="s">
        <v>304</v>
      </c>
      <c r="E55" s="19">
        <f>1.176/1000</f>
        <v>1.176E-3</v>
      </c>
      <c r="F55" s="21" t="s">
        <v>264</v>
      </c>
      <c r="G55" s="29">
        <f>0.116/1000</f>
        <v>1.16E-4</v>
      </c>
      <c r="H55" s="272"/>
    </row>
    <row r="56" spans="2:8" ht="16.5" thickBot="1">
      <c r="B56" s="303"/>
      <c r="C56" s="17" t="s">
        <v>322</v>
      </c>
      <c r="D56" s="23" t="s">
        <v>304</v>
      </c>
      <c r="E56" s="19">
        <f>0.907/1000</f>
        <v>9.0700000000000004E-4</v>
      </c>
      <c r="F56" s="21" t="s">
        <v>264</v>
      </c>
      <c r="G56" s="29">
        <f>0.283/1000</f>
        <v>2.8299999999999999E-4</v>
      </c>
      <c r="H56" s="272"/>
    </row>
    <row r="57" spans="2:8" ht="16.5" thickBot="1">
      <c r="B57" s="303"/>
      <c r="C57" s="17" t="s">
        <v>323</v>
      </c>
      <c r="D57" s="23" t="s">
        <v>304</v>
      </c>
      <c r="E57" s="19">
        <f>0.149/1000</f>
        <v>1.4899999999999999E-4</v>
      </c>
      <c r="F57" s="21" t="s">
        <v>264</v>
      </c>
      <c r="G57" s="29">
        <f>0.154/1000</f>
        <v>1.54E-4</v>
      </c>
      <c r="H57" s="272"/>
    </row>
    <row r="58" spans="2:8" ht="16.5" thickBot="1">
      <c r="B58" s="303"/>
      <c r="C58" s="17" t="s">
        <v>324</v>
      </c>
      <c r="D58" s="23" t="s">
        <v>304</v>
      </c>
      <c r="E58" s="19">
        <f>1.5835/1000</f>
        <v>1.5834999999999998E-3</v>
      </c>
      <c r="F58" s="21" t="s">
        <v>264</v>
      </c>
      <c r="G58" s="29">
        <f>0.0051/1000</f>
        <v>5.1000000000000003E-6</v>
      </c>
      <c r="H58" s="272"/>
    </row>
    <row r="59" spans="2:8" ht="16.5" thickBot="1">
      <c r="B59" s="303"/>
      <c r="C59" s="17" t="s">
        <v>325</v>
      </c>
      <c r="D59" s="23" t="s">
        <v>304</v>
      </c>
      <c r="E59" s="19">
        <f>0.348/1000</f>
        <v>3.48E-4</v>
      </c>
      <c r="F59" s="21" t="s">
        <v>289</v>
      </c>
      <c r="G59" s="29">
        <f>0.021/1000</f>
        <v>2.1000000000000002E-5</v>
      </c>
      <c r="H59" s="272"/>
    </row>
    <row r="60" spans="2:8" ht="32.25" thickBot="1">
      <c r="B60" s="304"/>
      <c r="C60" s="24" t="s">
        <v>326</v>
      </c>
      <c r="D60" s="23" t="s">
        <v>304</v>
      </c>
      <c r="E60" s="19">
        <f>0.099/1000</f>
        <v>9.9000000000000008E-5</v>
      </c>
      <c r="F60" s="21" t="s">
        <v>289</v>
      </c>
      <c r="G60" s="29">
        <f>0.01981/1000</f>
        <v>1.9810000000000002E-5</v>
      </c>
      <c r="H60" s="272"/>
    </row>
    <row r="61" spans="2:8" ht="16.5" thickBot="1">
      <c r="B61" s="293" t="s">
        <v>327</v>
      </c>
      <c r="C61" s="17" t="s">
        <v>328</v>
      </c>
      <c r="D61" s="23" t="s">
        <v>329</v>
      </c>
      <c r="E61" s="28"/>
      <c r="F61" s="19">
        <v>0.5101</v>
      </c>
      <c r="G61" s="28" t="s">
        <v>264</v>
      </c>
      <c r="H61" s="272"/>
    </row>
    <row r="62" spans="2:8" ht="16.5" thickBot="1">
      <c r="B62" s="293"/>
      <c r="C62" s="17" t="s">
        <v>330</v>
      </c>
      <c r="D62" s="23" t="s">
        <v>331</v>
      </c>
      <c r="E62" s="28"/>
      <c r="F62" s="19">
        <v>0.78500000000000003</v>
      </c>
      <c r="G62" s="28" t="s">
        <v>264</v>
      </c>
      <c r="H62" s="272"/>
    </row>
    <row r="63" spans="2:8" ht="16.5" thickBot="1">
      <c r="B63" s="293"/>
      <c r="C63" s="17" t="s">
        <v>332</v>
      </c>
      <c r="D63" s="23" t="s">
        <v>333</v>
      </c>
      <c r="E63" s="28"/>
      <c r="F63" s="19">
        <v>0.21</v>
      </c>
      <c r="G63" s="28" t="s">
        <v>264</v>
      </c>
      <c r="H63" s="272"/>
    </row>
    <row r="64" spans="2:8" ht="16.5" thickBot="1">
      <c r="B64" s="293"/>
      <c r="C64" s="17" t="s">
        <v>334</v>
      </c>
      <c r="D64" s="23" t="s">
        <v>335</v>
      </c>
      <c r="E64" s="28"/>
      <c r="F64" s="79">
        <v>0.51839999999999997</v>
      </c>
      <c r="G64" s="28"/>
      <c r="H64" s="272"/>
    </row>
    <row r="65" spans="2:8" ht="32.25" customHeight="1" thickBot="1">
      <c r="B65" s="302" t="s">
        <v>336</v>
      </c>
      <c r="C65" s="26" t="s">
        <v>337</v>
      </c>
      <c r="D65" s="23" t="s">
        <v>338</v>
      </c>
      <c r="E65" s="19">
        <v>4.9400000000000004</v>
      </c>
      <c r="F65" s="21"/>
      <c r="G65" s="28"/>
      <c r="H65" s="272"/>
    </row>
    <row r="66" spans="2:8" ht="16.5" thickBot="1">
      <c r="B66" s="303"/>
      <c r="C66" s="294" t="s">
        <v>339</v>
      </c>
      <c r="D66" s="295"/>
      <c r="E66" s="295"/>
      <c r="F66" s="295"/>
      <c r="G66" s="296"/>
      <c r="H66" s="272"/>
    </row>
    <row r="67" spans="2:8" ht="16.5" thickBot="1">
      <c r="B67" s="303"/>
      <c r="C67" s="27" t="s">
        <v>340</v>
      </c>
      <c r="D67" s="23" t="s">
        <v>341</v>
      </c>
      <c r="E67" s="19">
        <v>19.48</v>
      </c>
      <c r="F67" s="21"/>
      <c r="G67" s="28"/>
      <c r="H67" s="272"/>
    </row>
    <row r="68" spans="2:8" ht="16.5" thickBot="1">
      <c r="B68" s="303"/>
      <c r="C68" s="27" t="s">
        <v>342</v>
      </c>
      <c r="D68" s="23" t="s">
        <v>341</v>
      </c>
      <c r="E68" s="19">
        <v>20</v>
      </c>
      <c r="F68" s="21"/>
      <c r="G68" s="28"/>
      <c r="H68" s="272"/>
    </row>
    <row r="69" spans="2:8" ht="16.5" thickBot="1">
      <c r="B69" s="303"/>
      <c r="C69" s="27" t="s">
        <v>343</v>
      </c>
      <c r="D69" s="23" t="s">
        <v>341</v>
      </c>
      <c r="E69" s="19">
        <v>16.809999999999999</v>
      </c>
      <c r="F69" s="21"/>
      <c r="G69" s="28"/>
      <c r="H69" s="272"/>
    </row>
    <row r="70" spans="2:8" ht="16.5" thickBot="1">
      <c r="B70" s="303"/>
      <c r="C70" s="27" t="s">
        <v>344</v>
      </c>
      <c r="D70" s="23" t="s">
        <v>341</v>
      </c>
      <c r="E70" s="19">
        <v>63.61</v>
      </c>
      <c r="F70" s="21"/>
      <c r="G70" s="28"/>
      <c r="H70" s="272"/>
    </row>
    <row r="71" spans="2:8" ht="16.5" thickBot="1">
      <c r="B71" s="303"/>
      <c r="C71" s="27" t="s">
        <v>345</v>
      </c>
      <c r="D71" s="23" t="s">
        <v>341</v>
      </c>
      <c r="E71" s="19">
        <v>48.69</v>
      </c>
      <c r="F71" s="21"/>
      <c r="G71" s="28"/>
      <c r="H71" s="272"/>
    </row>
    <row r="72" spans="2:8" ht="16.5" thickBot="1">
      <c r="B72" s="303"/>
      <c r="C72" s="27" t="s">
        <v>346</v>
      </c>
      <c r="D72" s="23" t="s">
        <v>341</v>
      </c>
      <c r="E72" s="19">
        <v>41.91</v>
      </c>
      <c r="F72" s="21"/>
      <c r="G72" s="28"/>
      <c r="H72" s="272"/>
    </row>
    <row r="73" spans="2:8" ht="16.5" thickBot="1">
      <c r="B73" s="303"/>
      <c r="C73" s="27" t="s">
        <v>347</v>
      </c>
      <c r="D73" s="23" t="s">
        <v>341</v>
      </c>
      <c r="E73" s="19">
        <v>66.25</v>
      </c>
      <c r="F73" s="21"/>
      <c r="G73" s="28"/>
      <c r="H73" s="272"/>
    </row>
    <row r="74" spans="2:8" ht="16.5" thickBot="1">
      <c r="B74" s="303"/>
      <c r="C74" s="27" t="s">
        <v>348</v>
      </c>
      <c r="D74" s="23" t="s">
        <v>341</v>
      </c>
      <c r="E74" s="19" t="s">
        <v>289</v>
      </c>
      <c r="F74" s="21"/>
      <c r="G74" s="28"/>
      <c r="H74" s="272"/>
    </row>
    <row r="75" spans="2:8" ht="16.5" thickBot="1">
      <c r="B75" s="303"/>
      <c r="C75" s="27" t="s">
        <v>349</v>
      </c>
      <c r="D75" s="23" t="s">
        <v>341</v>
      </c>
      <c r="E75" s="19">
        <v>70.16</v>
      </c>
      <c r="F75" s="21"/>
      <c r="G75" s="28"/>
      <c r="H75" s="272"/>
    </row>
    <row r="76" spans="2:8" ht="16.5" thickBot="1">
      <c r="B76" s="303"/>
      <c r="C76" s="27" t="s">
        <v>350</v>
      </c>
      <c r="D76" s="23" t="s">
        <v>341</v>
      </c>
      <c r="E76" s="19">
        <v>85.8</v>
      </c>
      <c r="F76" s="21"/>
      <c r="G76" s="28"/>
      <c r="H76" s="272"/>
    </row>
    <row r="77" spans="2:8" ht="16.5" thickBot="1">
      <c r="B77" s="303"/>
      <c r="C77" s="27" t="s">
        <v>351</v>
      </c>
      <c r="D77" s="23" t="s">
        <v>341</v>
      </c>
      <c r="E77" s="19">
        <v>85</v>
      </c>
      <c r="F77" s="21"/>
      <c r="G77" s="28"/>
      <c r="H77" s="272"/>
    </row>
    <row r="78" spans="2:8" ht="16.5" thickBot="1">
      <c r="B78" s="303"/>
      <c r="C78" s="27" t="s">
        <v>352</v>
      </c>
      <c r="D78" s="23" t="s">
        <v>341</v>
      </c>
      <c r="E78" s="19">
        <v>85.67</v>
      </c>
      <c r="F78" s="21"/>
      <c r="G78" s="28"/>
      <c r="H78" s="272"/>
    </row>
    <row r="79" spans="2:8" ht="16.5" thickBot="1">
      <c r="B79" s="303"/>
      <c r="C79" s="27" t="s">
        <v>353</v>
      </c>
      <c r="D79" s="23" t="s">
        <v>341</v>
      </c>
      <c r="E79" s="19">
        <v>111.7</v>
      </c>
      <c r="F79" s="21"/>
      <c r="G79" s="28"/>
      <c r="H79" s="272"/>
    </row>
    <row r="80" spans="2:8" ht="16.5" thickBot="1">
      <c r="B80" s="303"/>
      <c r="C80" s="27" t="s">
        <v>354</v>
      </c>
      <c r="D80" s="23" t="s">
        <v>341</v>
      </c>
      <c r="E80" s="19">
        <v>111.7</v>
      </c>
      <c r="F80" s="21"/>
      <c r="G80" s="28"/>
      <c r="H80" s="272"/>
    </row>
    <row r="81" spans="2:8" ht="16.5" thickBot="1">
      <c r="B81" s="303"/>
      <c r="C81" s="27" t="s">
        <v>355</v>
      </c>
      <c r="D81" s="23" t="s">
        <v>341</v>
      </c>
      <c r="E81" s="19">
        <v>111.7</v>
      </c>
      <c r="F81" s="21"/>
      <c r="G81" s="28"/>
      <c r="H81" s="272"/>
    </row>
    <row r="82" spans="2:8" ht="16.5" thickBot="1">
      <c r="B82" s="303"/>
      <c r="C82" s="27"/>
      <c r="D82" s="23"/>
      <c r="E82" s="19"/>
      <c r="F82" s="21"/>
      <c r="G82" s="28"/>
      <c r="H82" s="272"/>
    </row>
    <row r="83" spans="2:8" ht="16.5" thickBot="1">
      <c r="B83" s="303"/>
      <c r="C83" s="297" t="s">
        <v>356</v>
      </c>
      <c r="D83" s="297"/>
      <c r="E83" s="297"/>
      <c r="F83" s="297"/>
      <c r="G83" s="297"/>
      <c r="H83" s="272"/>
    </row>
    <row r="84" spans="2:8" ht="16.5" thickBot="1">
      <c r="B84" s="303"/>
      <c r="C84" s="27" t="s">
        <v>357</v>
      </c>
      <c r="D84" s="23" t="s">
        <v>341</v>
      </c>
      <c r="E84" s="79">
        <v>68</v>
      </c>
      <c r="F84" s="21"/>
      <c r="G84" s="28"/>
      <c r="H84" s="272"/>
    </row>
    <row r="85" spans="2:8" ht="16.5" thickBot="1">
      <c r="B85" s="303"/>
      <c r="C85" s="27" t="s">
        <v>358</v>
      </c>
      <c r="D85" s="23" t="s">
        <v>341</v>
      </c>
      <c r="E85" s="19">
        <v>5</v>
      </c>
      <c r="F85" s="21"/>
      <c r="G85" s="28"/>
      <c r="H85" s="272"/>
    </row>
    <row r="86" spans="2:8" ht="16.5" thickBot="1">
      <c r="B86" s="303"/>
      <c r="C86" s="27" t="s">
        <v>359</v>
      </c>
      <c r="D86" s="23" t="s">
        <v>341</v>
      </c>
      <c r="E86" s="19">
        <v>5</v>
      </c>
      <c r="F86" s="21"/>
      <c r="G86" s="28"/>
      <c r="H86" s="272"/>
    </row>
    <row r="87" spans="2:8" ht="16.5" thickBot="1">
      <c r="B87" s="303"/>
      <c r="C87" s="27" t="s">
        <v>360</v>
      </c>
      <c r="D87" s="23" t="s">
        <v>341</v>
      </c>
      <c r="E87" s="19">
        <v>18</v>
      </c>
      <c r="F87" s="21"/>
      <c r="G87" s="28"/>
      <c r="H87" s="272"/>
    </row>
    <row r="88" spans="2:8" ht="16.5" thickBot="1">
      <c r="B88" s="303"/>
      <c r="C88" s="27" t="s">
        <v>361</v>
      </c>
      <c r="D88" s="23" t="s">
        <v>341</v>
      </c>
      <c r="E88" s="19">
        <v>1</v>
      </c>
      <c r="F88" s="21"/>
      <c r="G88" s="28"/>
      <c r="H88" s="272"/>
    </row>
    <row r="89" spans="2:8" ht="16.5" thickBot="1">
      <c r="B89" s="303"/>
      <c r="C89" s="269" t="s">
        <v>362</v>
      </c>
      <c r="D89" s="269"/>
      <c r="E89" s="269"/>
      <c r="F89" s="269"/>
      <c r="G89" s="270"/>
      <c r="H89" s="272"/>
    </row>
    <row r="90" spans="2:8" ht="16.5" thickBot="1">
      <c r="B90" s="303"/>
      <c r="C90" s="17" t="s">
        <v>363</v>
      </c>
      <c r="D90" s="23" t="s">
        <v>341</v>
      </c>
      <c r="E90" s="19">
        <v>1</v>
      </c>
      <c r="F90" s="21"/>
      <c r="G90" s="28"/>
      <c r="H90" s="272"/>
    </row>
    <row r="91" spans="2:8" ht="16.5" thickBot="1">
      <c r="B91" s="303"/>
      <c r="C91" s="17" t="s">
        <v>360</v>
      </c>
      <c r="D91" s="23" t="s">
        <v>341</v>
      </c>
      <c r="E91" s="19">
        <v>1.64</v>
      </c>
      <c r="F91" s="21"/>
      <c r="G91" s="28"/>
      <c r="H91" s="272"/>
    </row>
    <row r="92" spans="2:8" ht="16.5" thickBot="1">
      <c r="B92" s="303"/>
      <c r="C92" s="7" t="s">
        <v>359</v>
      </c>
      <c r="D92" s="23" t="s">
        <v>341</v>
      </c>
      <c r="E92" s="19">
        <v>0.17</v>
      </c>
      <c r="F92" s="21"/>
      <c r="G92" s="28"/>
      <c r="H92" s="272"/>
    </row>
    <row r="93" spans="2:8" ht="16.5" thickBot="1">
      <c r="B93" s="303"/>
      <c r="C93" s="17" t="s">
        <v>361</v>
      </c>
      <c r="D93" s="23" t="s">
        <v>341</v>
      </c>
      <c r="E93" s="19">
        <v>1</v>
      </c>
      <c r="F93" s="21"/>
      <c r="G93" s="28"/>
      <c r="H93" s="272"/>
    </row>
    <row r="94" spans="2:8" ht="16.5" thickBot="1">
      <c r="B94" s="303"/>
      <c r="C94" s="17" t="s">
        <v>364</v>
      </c>
      <c r="D94" s="23" t="s">
        <v>341</v>
      </c>
      <c r="E94" s="19">
        <v>0.02</v>
      </c>
      <c r="F94" s="21"/>
      <c r="G94" s="28"/>
      <c r="H94" s="272"/>
    </row>
    <row r="95" spans="2:8" ht="16.5" thickBot="1">
      <c r="B95" s="303"/>
      <c r="C95" s="269" t="s">
        <v>365</v>
      </c>
      <c r="D95" s="269"/>
      <c r="E95" s="269"/>
      <c r="F95" s="269"/>
      <c r="G95" s="269"/>
      <c r="H95" s="272"/>
    </row>
    <row r="96" spans="2:8" ht="16.5" thickBot="1">
      <c r="B96" s="303"/>
      <c r="C96" s="23" t="s">
        <v>366</v>
      </c>
      <c r="D96" s="23" t="s">
        <v>367</v>
      </c>
      <c r="E96" s="23"/>
      <c r="F96" s="23"/>
      <c r="G96" s="23">
        <v>4.8099999999999996</v>
      </c>
      <c r="H96" s="272"/>
    </row>
    <row r="97" spans="2:8" ht="16.5" thickBot="1">
      <c r="B97" s="303"/>
      <c r="C97" s="23" t="s">
        <v>368</v>
      </c>
      <c r="D97" s="23" t="s">
        <v>367</v>
      </c>
      <c r="E97" s="23"/>
      <c r="F97" s="23"/>
      <c r="G97" s="23">
        <v>2.92</v>
      </c>
      <c r="H97" s="272"/>
    </row>
    <row r="98" spans="2:8" ht="16.5" thickBot="1">
      <c r="B98" s="303"/>
      <c r="C98" s="23" t="s">
        <v>369</v>
      </c>
      <c r="D98" s="23" t="s">
        <v>367</v>
      </c>
      <c r="E98" s="23"/>
      <c r="F98" s="23"/>
      <c r="G98" s="23">
        <v>7.78</v>
      </c>
      <c r="H98" s="272"/>
    </row>
    <row r="99" spans="2:8" ht="16.5" thickBot="1">
      <c r="B99" s="303"/>
      <c r="C99" s="23" t="s">
        <v>370</v>
      </c>
      <c r="D99" s="23" t="s">
        <v>367</v>
      </c>
      <c r="E99" s="23"/>
      <c r="F99" s="23"/>
      <c r="G99" s="23">
        <v>4.8499999999999996</v>
      </c>
      <c r="H99" s="272"/>
    </row>
    <row r="100" spans="2:8" ht="16.5" thickBot="1">
      <c r="B100" s="303"/>
      <c r="C100" s="23" t="s">
        <v>371</v>
      </c>
      <c r="D100" s="23" t="s">
        <v>367</v>
      </c>
      <c r="E100" s="23"/>
      <c r="F100" s="23"/>
      <c r="G100" s="23">
        <v>4.5999999999999996</v>
      </c>
      <c r="H100" s="272"/>
    </row>
    <row r="101" spans="2:8" ht="16.5" thickBot="1">
      <c r="B101" s="303"/>
      <c r="C101" s="23" t="s">
        <v>372</v>
      </c>
      <c r="D101" s="23" t="s">
        <v>367</v>
      </c>
      <c r="E101" s="23"/>
      <c r="F101" s="23"/>
      <c r="G101" s="23">
        <v>2.61</v>
      </c>
      <c r="H101" s="272"/>
    </row>
    <row r="102" spans="2:8" ht="16.5" thickBot="1">
      <c r="B102" s="303"/>
      <c r="C102" s="23" t="s">
        <v>373</v>
      </c>
      <c r="D102" s="23" t="s">
        <v>367</v>
      </c>
      <c r="E102" s="23"/>
      <c r="F102" s="23"/>
      <c r="G102" s="23">
        <v>7.86</v>
      </c>
      <c r="H102" s="272"/>
    </row>
    <row r="103" spans="2:8" ht="16.5" thickBot="1">
      <c r="B103" s="303"/>
      <c r="C103" s="23" t="s">
        <v>374</v>
      </c>
      <c r="D103" s="23" t="s">
        <v>367</v>
      </c>
      <c r="E103" s="23"/>
      <c r="F103" s="23"/>
      <c r="G103" s="23">
        <v>4.9400000000000004</v>
      </c>
      <c r="H103" s="272"/>
    </row>
    <row r="104" spans="2:8" ht="16.5" thickBot="1">
      <c r="B104" s="303"/>
      <c r="C104" s="23" t="s">
        <v>375</v>
      </c>
      <c r="D104" s="23" t="s">
        <v>367</v>
      </c>
      <c r="E104" s="23"/>
      <c r="F104" s="23"/>
      <c r="G104" s="23">
        <v>2.4300000000000002</v>
      </c>
      <c r="H104" s="272"/>
    </row>
    <row r="105" spans="2:8" ht="16.5" thickBot="1">
      <c r="B105" s="303"/>
      <c r="C105" s="23" t="s">
        <v>376</v>
      </c>
      <c r="D105" s="23" t="s">
        <v>367</v>
      </c>
      <c r="E105" s="23"/>
      <c r="F105" s="23"/>
      <c r="G105" s="23">
        <v>1.22</v>
      </c>
      <c r="H105" s="272"/>
    </row>
    <row r="106" spans="2:8" ht="16.5" thickBot="1">
      <c r="B106" s="303"/>
      <c r="C106" s="23" t="s">
        <v>377</v>
      </c>
      <c r="D106" s="23" t="s">
        <v>367</v>
      </c>
      <c r="E106" s="23"/>
      <c r="F106" s="23"/>
      <c r="G106" s="23">
        <v>3.55</v>
      </c>
      <c r="H106" s="272"/>
    </row>
    <row r="107" spans="2:8" ht="16.5" thickBot="1">
      <c r="B107" s="303"/>
      <c r="C107" s="23" t="s">
        <v>378</v>
      </c>
      <c r="D107" s="23" t="s">
        <v>367</v>
      </c>
      <c r="E107" s="23"/>
      <c r="F107" s="23"/>
      <c r="G107" s="23">
        <v>5.33</v>
      </c>
      <c r="H107" s="273"/>
    </row>
    <row r="108" spans="2:8" ht="16.5" thickBot="1">
      <c r="B108" s="303"/>
      <c r="C108" s="269" t="s">
        <v>379</v>
      </c>
      <c r="D108" s="269"/>
      <c r="E108" s="269"/>
      <c r="F108" s="269"/>
      <c r="G108" s="269"/>
      <c r="H108" s="271" t="s">
        <v>380</v>
      </c>
    </row>
    <row r="109" spans="2:8" ht="16.5" customHeight="1" thickBot="1">
      <c r="B109" s="303"/>
      <c r="C109" s="23" t="s">
        <v>381</v>
      </c>
      <c r="D109" s="23" t="s">
        <v>367</v>
      </c>
      <c r="E109" s="23"/>
      <c r="F109" s="23"/>
      <c r="G109" s="116">
        <f>'4.5. AFOLU'!B61</f>
        <v>15.707736000000001</v>
      </c>
      <c r="H109" s="272"/>
    </row>
    <row r="110" spans="2:8" ht="16.5" thickBot="1">
      <c r="B110" s="303"/>
      <c r="C110" s="23" t="s">
        <v>382</v>
      </c>
      <c r="D110" s="23" t="s">
        <v>367</v>
      </c>
      <c r="E110" s="23"/>
      <c r="F110" s="23"/>
      <c r="G110" s="116">
        <f>'4.5. AFOLU'!G65</f>
        <v>0.37420600000000004</v>
      </c>
      <c r="H110" s="272"/>
    </row>
    <row r="111" spans="2:8" ht="16.5" thickBot="1">
      <c r="B111" s="303"/>
      <c r="C111" s="23" t="s">
        <v>383</v>
      </c>
      <c r="D111" s="23" t="s">
        <v>367</v>
      </c>
      <c r="E111" s="23"/>
      <c r="F111" s="23"/>
      <c r="G111" s="116">
        <f>'4.5. AFOLU'!B77</f>
        <v>0.42499999999999999</v>
      </c>
      <c r="H111" s="272"/>
    </row>
    <row r="112" spans="2:8" ht="16.5" thickBot="1">
      <c r="B112" s="303"/>
      <c r="C112" s="23" t="s">
        <v>384</v>
      </c>
      <c r="D112" s="23" t="s">
        <v>367</v>
      </c>
      <c r="E112" s="23"/>
      <c r="F112" s="23"/>
      <c r="G112" s="116">
        <f>'4.5. AFOLU'!G85</f>
        <v>2.95</v>
      </c>
      <c r="H112" s="272"/>
    </row>
    <row r="113" spans="2:8" ht="16.5" thickBot="1">
      <c r="B113" s="303"/>
      <c r="C113" s="23" t="s">
        <v>385</v>
      </c>
      <c r="D113" s="23" t="s">
        <v>367</v>
      </c>
      <c r="E113" s="23"/>
      <c r="F113" s="23"/>
      <c r="G113" s="116">
        <f>'4.5. AFOLU'!B93</f>
        <v>1.8000000000000002E-2</v>
      </c>
      <c r="H113" s="272"/>
    </row>
    <row r="114" spans="2:8" ht="16.5" thickBot="1">
      <c r="B114" s="303"/>
      <c r="C114" s="23" t="s">
        <v>386</v>
      </c>
      <c r="D114" s="23" t="s">
        <v>367</v>
      </c>
      <c r="E114" s="23"/>
      <c r="F114" s="23"/>
      <c r="G114" s="116">
        <f>'4.5. AFOLU'!G101</f>
        <v>9.5880000000000007E-2</v>
      </c>
      <c r="H114" s="272"/>
    </row>
    <row r="115" spans="2:8" ht="16.5" thickBot="1">
      <c r="B115" s="303"/>
      <c r="C115" s="23" t="s">
        <v>387</v>
      </c>
      <c r="D115" s="23" t="s">
        <v>367</v>
      </c>
      <c r="E115" s="23"/>
      <c r="F115" s="23"/>
      <c r="G115" s="116">
        <f>'4.5. AFOLU'!B113</f>
        <v>9.641688000000002</v>
      </c>
      <c r="H115" s="272"/>
    </row>
    <row r="116" spans="2:8" ht="16.5" thickBot="1">
      <c r="B116" s="303"/>
      <c r="C116" s="23" t="s">
        <v>388</v>
      </c>
      <c r="D116" s="23" t="s">
        <v>367</v>
      </c>
      <c r="E116" s="23"/>
      <c r="F116" s="23"/>
      <c r="G116" s="116">
        <f>'4.5. AFOLU'!G113</f>
        <v>0.72</v>
      </c>
      <c r="H116" s="272"/>
    </row>
    <row r="117" spans="2:8" ht="16.5" thickBot="1">
      <c r="B117" s="303"/>
      <c r="C117" s="23" t="s">
        <v>389</v>
      </c>
      <c r="D117" s="23" t="s">
        <v>367</v>
      </c>
      <c r="E117" s="23"/>
      <c r="F117" s="23"/>
      <c r="G117" s="116">
        <f>'4.5. AFOLU'!B141</f>
        <v>11.6668</v>
      </c>
      <c r="H117" s="272"/>
    </row>
    <row r="118" spans="2:8" ht="16.5" thickBot="1">
      <c r="B118" s="303"/>
      <c r="C118" s="23" t="s">
        <v>390</v>
      </c>
      <c r="D118" s="23" t="s">
        <v>367</v>
      </c>
      <c r="E118" s="23"/>
      <c r="F118" s="23"/>
      <c r="G118" s="116">
        <f>'4.5. AFOLU'!G125</f>
        <v>3.68</v>
      </c>
      <c r="H118" s="272"/>
    </row>
    <row r="119" spans="2:8" ht="16.5" thickBot="1">
      <c r="B119" s="303"/>
      <c r="C119" s="23" t="s">
        <v>391</v>
      </c>
      <c r="D119" s="23" t="s">
        <v>367</v>
      </c>
      <c r="E119" s="23"/>
      <c r="F119" s="23"/>
      <c r="G119" s="116">
        <f>'4.5. AFOLU'!G137</f>
        <v>2.7</v>
      </c>
      <c r="H119" s="272"/>
    </row>
    <row r="120" spans="2:8" ht="16.5" thickBot="1">
      <c r="B120" s="303"/>
      <c r="C120" s="23" t="s">
        <v>392</v>
      </c>
      <c r="D120" s="23" t="s">
        <v>367</v>
      </c>
      <c r="E120" s="23"/>
      <c r="F120" s="23"/>
      <c r="G120" s="116">
        <f>'4.5. AFOLU'!B149</f>
        <v>6.7500000000000004E-2</v>
      </c>
      <c r="H120" s="272"/>
    </row>
    <row r="121" spans="2:8" ht="16.5" thickBot="1">
      <c r="B121" s="303"/>
      <c r="C121" s="23" t="s">
        <v>393</v>
      </c>
      <c r="D121" s="23" t="s">
        <v>367</v>
      </c>
      <c r="E121" s="23"/>
      <c r="F121" s="23"/>
      <c r="G121" s="116">
        <f>'4.5. AFOLU'!B152</f>
        <v>0.10125000000000001</v>
      </c>
      <c r="H121" s="272"/>
    </row>
    <row r="122" spans="2:8" ht="16.5" thickBot="1">
      <c r="B122" s="303"/>
      <c r="C122" s="23" t="s">
        <v>394</v>
      </c>
      <c r="D122" s="23" t="s">
        <v>367</v>
      </c>
      <c r="E122" s="23"/>
      <c r="F122" s="23"/>
      <c r="G122" s="116">
        <f>'4.5. AFOLU'!B155</f>
        <v>19.730763</v>
      </c>
      <c r="H122" s="272"/>
    </row>
    <row r="123" spans="2:8" ht="16.5" thickBot="1">
      <c r="B123" s="303"/>
      <c r="C123" s="23" t="s">
        <v>395</v>
      </c>
      <c r="D123" s="23" t="s">
        <v>367</v>
      </c>
      <c r="E123" s="23"/>
      <c r="F123" s="23"/>
      <c r="G123" s="116">
        <f>'4.5. AFOLU'!B158</f>
        <v>3.375</v>
      </c>
      <c r="H123" s="272"/>
    </row>
    <row r="124" spans="2:8" ht="16.5" customHeight="1" thickBot="1">
      <c r="B124" s="303"/>
      <c r="C124" s="269" t="s">
        <v>396</v>
      </c>
      <c r="D124" s="269"/>
      <c r="E124" s="269"/>
      <c r="F124" s="269"/>
      <c r="G124" s="270"/>
      <c r="H124" s="271" t="s">
        <v>397</v>
      </c>
    </row>
    <row r="125" spans="2:8" ht="16.5" thickBot="1">
      <c r="B125" s="303"/>
      <c r="C125" s="23" t="s">
        <v>398</v>
      </c>
      <c r="D125" s="23" t="s">
        <v>399</v>
      </c>
      <c r="E125" s="23"/>
      <c r="F125" s="23">
        <v>0.2</v>
      </c>
      <c r="G125" s="23"/>
      <c r="H125" s="272"/>
    </row>
    <row r="126" spans="2:8" ht="16.5" thickBot="1">
      <c r="B126" s="304"/>
      <c r="C126" s="23" t="s">
        <v>400</v>
      </c>
      <c r="D126" s="23" t="s">
        <v>401</v>
      </c>
      <c r="E126" s="23"/>
      <c r="F126" s="23">
        <v>0.12</v>
      </c>
      <c r="G126" s="23"/>
      <c r="H126" s="273"/>
    </row>
    <row r="127" spans="2:8" ht="24.75" customHeight="1" thickBot="1">
      <c r="B127" s="271" t="s">
        <v>402</v>
      </c>
      <c r="C127" s="274" t="s">
        <v>403</v>
      </c>
      <c r="D127" s="274"/>
      <c r="E127" s="274"/>
      <c r="F127" s="274"/>
      <c r="G127" s="275"/>
      <c r="H127" s="271" t="s">
        <v>404</v>
      </c>
    </row>
    <row r="128" spans="2:8" ht="35.25" customHeight="1" thickBot="1">
      <c r="B128" s="272"/>
      <c r="C128" s="18" t="s">
        <v>405</v>
      </c>
      <c r="D128" s="18" t="s">
        <v>406</v>
      </c>
      <c r="E128" s="18">
        <v>300</v>
      </c>
      <c r="F128" s="18">
        <v>112000</v>
      </c>
      <c r="G128" s="18">
        <v>4</v>
      </c>
      <c r="H128" s="272"/>
    </row>
    <row r="129" spans="2:8" ht="36.75" customHeight="1" thickBot="1">
      <c r="B129" s="273"/>
      <c r="C129" s="18" t="s">
        <v>407</v>
      </c>
      <c r="D129" s="18" t="s">
        <v>406</v>
      </c>
      <c r="E129" s="18">
        <v>5</v>
      </c>
      <c r="F129" s="18">
        <v>54600</v>
      </c>
      <c r="G129" s="18">
        <v>0.1</v>
      </c>
      <c r="H129" s="273"/>
    </row>
    <row r="130" spans="2:8" ht="16.5" customHeight="1" thickBot="1">
      <c r="B130" s="305" t="s">
        <v>408</v>
      </c>
      <c r="C130" s="274" t="s">
        <v>409</v>
      </c>
      <c r="D130" s="274"/>
      <c r="E130" s="274"/>
      <c r="F130" s="274"/>
      <c r="G130" s="275"/>
      <c r="H130" s="271" t="s">
        <v>410</v>
      </c>
    </row>
    <row r="131" spans="2:8" ht="16.5" customHeight="1" thickBot="1">
      <c r="B131" s="306"/>
      <c r="C131" s="18" t="s">
        <v>409</v>
      </c>
      <c r="D131" s="18" t="s">
        <v>411</v>
      </c>
      <c r="E131" s="136">
        <f>'4.3. ANEXOS Residuos'!B182*'4.3. ANEXOS Residuos'!C182</f>
        <v>0.66666666666666663</v>
      </c>
      <c r="F131" s="18" t="s">
        <v>289</v>
      </c>
      <c r="G131" s="18" t="s">
        <v>289</v>
      </c>
      <c r="H131" s="272"/>
    </row>
    <row r="132" spans="2:8" ht="26.25" customHeight="1" thickBot="1">
      <c r="B132" s="271" t="s">
        <v>412</v>
      </c>
      <c r="C132" s="274" t="s">
        <v>413</v>
      </c>
      <c r="D132" s="274"/>
      <c r="E132" s="274"/>
      <c r="F132" s="274"/>
      <c r="G132" s="275"/>
      <c r="H132" s="276" t="s">
        <v>414</v>
      </c>
    </row>
    <row r="133" spans="2:8" ht="26.25" customHeight="1" thickBot="1">
      <c r="B133" s="272"/>
      <c r="C133" s="279" t="s">
        <v>415</v>
      </c>
      <c r="D133" s="18" t="s">
        <v>416</v>
      </c>
      <c r="E133" s="18"/>
      <c r="F133" s="5">
        <f>+'4.3. ANEXOS Residuos'!B125*'4.3. ANEXOS Residuos'!C125*'4.3. ANEXOS Residuos'!D125*'4.3. ANEXOS Residuos'!E125*'4.3. ANEXOS Residuos'!F125</f>
        <v>2.6849587570131991E-2</v>
      </c>
      <c r="G133" s="18"/>
      <c r="H133" s="277"/>
    </row>
    <row r="134" spans="2:8" ht="24" customHeight="1" thickBot="1">
      <c r="B134" s="273"/>
      <c r="C134" s="280"/>
      <c r="D134" s="18" t="s">
        <v>417</v>
      </c>
      <c r="E134" s="18">
        <v>6500</v>
      </c>
      <c r="F134" s="18" t="s">
        <v>289</v>
      </c>
      <c r="G134" s="18">
        <v>150</v>
      </c>
      <c r="H134" s="278"/>
    </row>
    <row r="135" spans="2:8" ht="16.5" customHeight="1" thickBot="1">
      <c r="B135" s="305" t="s">
        <v>418</v>
      </c>
      <c r="C135" s="274" t="s">
        <v>419</v>
      </c>
      <c r="D135" s="274"/>
      <c r="E135" s="274"/>
      <c r="F135" s="274"/>
      <c r="G135" s="275"/>
      <c r="H135" s="271" t="s">
        <v>420</v>
      </c>
    </row>
    <row r="136" spans="2:8" ht="16.5" customHeight="1" thickBot="1">
      <c r="B136" s="307"/>
      <c r="C136" s="18" t="s">
        <v>421</v>
      </c>
      <c r="D136" s="18" t="s">
        <v>422</v>
      </c>
      <c r="E136" s="136">
        <v>7.4999999999999997E-3</v>
      </c>
      <c r="F136" s="18" t="s">
        <v>289</v>
      </c>
      <c r="G136" s="18" t="s">
        <v>289</v>
      </c>
      <c r="H136" s="272"/>
    </row>
    <row r="137" spans="2:8" ht="16.5" customHeight="1" thickBot="1">
      <c r="B137" s="307"/>
      <c r="C137" s="18" t="s">
        <v>423</v>
      </c>
      <c r="D137" s="18" t="s">
        <v>422</v>
      </c>
      <c r="E137" s="136">
        <v>0</v>
      </c>
      <c r="F137" s="18"/>
      <c r="G137" s="18"/>
      <c r="H137" s="272"/>
    </row>
    <row r="138" spans="2:8" ht="16.5" customHeight="1" thickBot="1">
      <c r="B138" s="306"/>
      <c r="C138" s="18" t="s">
        <v>424</v>
      </c>
      <c r="D138" s="18" t="s">
        <v>422</v>
      </c>
      <c r="E138" s="136">
        <v>0</v>
      </c>
      <c r="F138" s="18" t="s">
        <v>289</v>
      </c>
      <c r="G138" s="18" t="s">
        <v>289</v>
      </c>
      <c r="H138" s="273"/>
    </row>
    <row r="139" spans="2:8" ht="16.5" customHeight="1" thickBot="1">
      <c r="B139" s="271" t="s">
        <v>425</v>
      </c>
      <c r="C139" s="274" t="s">
        <v>426</v>
      </c>
      <c r="D139" s="274"/>
      <c r="E139" s="274"/>
      <c r="F139" s="274"/>
      <c r="G139" s="275"/>
      <c r="H139" s="271" t="s">
        <v>427</v>
      </c>
    </row>
    <row r="140" spans="2:8" ht="16.5" customHeight="1" thickBot="1">
      <c r="B140" s="273"/>
      <c r="C140" s="18" t="s">
        <v>426</v>
      </c>
      <c r="D140" s="18" t="s">
        <v>428</v>
      </c>
      <c r="E140" s="136" t="s">
        <v>289</v>
      </c>
      <c r="F140" s="136"/>
      <c r="G140" s="18" t="s">
        <v>289</v>
      </c>
      <c r="H140" s="273"/>
    </row>
    <row r="141" spans="2:8" ht="16.5" customHeight="1" thickBot="1">
      <c r="B141" s="271" t="s">
        <v>429</v>
      </c>
      <c r="C141" s="274" t="s">
        <v>430</v>
      </c>
      <c r="D141" s="274"/>
      <c r="E141" s="274"/>
      <c r="F141" s="274"/>
      <c r="G141" s="275"/>
      <c r="H141" s="271" t="s">
        <v>431</v>
      </c>
    </row>
    <row r="142" spans="2:8" ht="31.5" customHeight="1" thickBot="1">
      <c r="B142" s="273"/>
      <c r="C142" s="18" t="s">
        <v>432</v>
      </c>
      <c r="D142" s="18" t="str">
        <f>'2.5. AFOLU'!I25</f>
        <v>kg GEI/kg de materia seca consumida</v>
      </c>
      <c r="E142" s="146">
        <f>2.3/1000</f>
        <v>2.3E-3</v>
      </c>
      <c r="F142" s="136">
        <f>1613/1000</f>
        <v>1.613</v>
      </c>
      <c r="G142" s="18">
        <f>0.21/1000</f>
        <v>2.0999999999999998E-4</v>
      </c>
      <c r="H142" s="273"/>
    </row>
    <row r="143" spans="2:8" ht="16.5" customHeight="1">
      <c r="B143" s="108"/>
      <c r="C143" s="109"/>
      <c r="D143" s="109"/>
      <c r="E143" s="109"/>
      <c r="F143" s="109"/>
      <c r="G143" s="109"/>
      <c r="H143" s="110"/>
    </row>
    <row r="144" spans="2:8" ht="16.5" customHeight="1" thickBot="1">
      <c r="B144" s="108"/>
      <c r="C144" s="109"/>
      <c r="D144" s="109"/>
      <c r="E144" s="109"/>
      <c r="F144" s="109"/>
      <c r="G144" s="109"/>
      <c r="H144" s="110"/>
    </row>
    <row r="145" spans="3:8" ht="16.5" thickBot="1">
      <c r="C145" s="298" t="s">
        <v>433</v>
      </c>
      <c r="D145" s="298"/>
      <c r="E145" s="298"/>
      <c r="F145" s="298"/>
      <c r="G145" s="298"/>
      <c r="H145" s="298"/>
    </row>
    <row r="146" spans="3:8" ht="16.5" thickBot="1">
      <c r="C146" s="299" t="s">
        <v>434</v>
      </c>
      <c r="D146" s="30"/>
      <c r="E146" s="299" t="s">
        <v>435</v>
      </c>
      <c r="F146" s="299" t="s">
        <v>436</v>
      </c>
      <c r="G146" s="299"/>
      <c r="H146" s="299"/>
    </row>
    <row r="147" spans="3:8" ht="32.25" thickBot="1">
      <c r="C147" s="299"/>
      <c r="D147" s="30" t="s">
        <v>437</v>
      </c>
      <c r="E147" s="299"/>
      <c r="F147" s="30" t="s">
        <v>438</v>
      </c>
      <c r="G147" s="30" t="s">
        <v>439</v>
      </c>
      <c r="H147" s="30" t="s">
        <v>440</v>
      </c>
    </row>
    <row r="148" spans="3:8" ht="16.5" thickBot="1">
      <c r="C148" s="41" t="s">
        <v>441</v>
      </c>
      <c r="D148" s="42" t="s">
        <v>442</v>
      </c>
      <c r="E148" s="43" t="s">
        <v>443</v>
      </c>
      <c r="F148" s="44" t="s">
        <v>444</v>
      </c>
      <c r="G148" s="18" t="s">
        <v>445</v>
      </c>
      <c r="H148" s="18" t="s">
        <v>446</v>
      </c>
    </row>
    <row r="149" spans="3:8" ht="16.5" thickBot="1">
      <c r="C149" s="41" t="s">
        <v>447</v>
      </c>
      <c r="D149" s="42" t="s">
        <v>448</v>
      </c>
      <c r="E149" s="44" t="s">
        <v>449</v>
      </c>
      <c r="F149" s="18" t="s">
        <v>450</v>
      </c>
      <c r="G149" s="43" t="s">
        <v>451</v>
      </c>
      <c r="H149" s="18" t="s">
        <v>452</v>
      </c>
    </row>
    <row r="150" spans="3:8" ht="16.5" thickBot="1">
      <c r="C150" s="41" t="s">
        <v>453</v>
      </c>
      <c r="D150" s="42" t="s">
        <v>454</v>
      </c>
      <c r="E150" s="44" t="s">
        <v>455</v>
      </c>
      <c r="F150" s="18" t="s">
        <v>450</v>
      </c>
      <c r="G150" s="43" t="s">
        <v>456</v>
      </c>
      <c r="H150" s="18" t="s">
        <v>457</v>
      </c>
    </row>
    <row r="151" spans="3:8" ht="16.5" thickBot="1">
      <c r="C151" s="41" t="s">
        <v>458</v>
      </c>
      <c r="D151" s="45" t="s">
        <v>459</v>
      </c>
      <c r="E151" s="44" t="s">
        <v>460</v>
      </c>
      <c r="F151" s="18" t="s">
        <v>444</v>
      </c>
      <c r="G151" s="44" t="s">
        <v>461</v>
      </c>
      <c r="H151" s="18" t="s">
        <v>452</v>
      </c>
    </row>
    <row r="152" spans="3:8" ht="32.25" thickBot="1">
      <c r="C152" s="41" t="s">
        <v>462</v>
      </c>
      <c r="D152" s="42" t="s">
        <v>463</v>
      </c>
      <c r="E152" s="44" t="s">
        <v>464</v>
      </c>
      <c r="F152" s="18" t="s">
        <v>450</v>
      </c>
      <c r="G152" s="44" t="s">
        <v>465</v>
      </c>
      <c r="H152" s="18" t="s">
        <v>457</v>
      </c>
    </row>
    <row r="153" spans="3:8" ht="16.5" thickBot="1">
      <c r="C153" s="41" t="s">
        <v>466</v>
      </c>
      <c r="D153" s="46" t="s">
        <v>467</v>
      </c>
      <c r="E153" s="44" t="s">
        <v>468</v>
      </c>
      <c r="F153" s="18" t="s">
        <v>444</v>
      </c>
      <c r="G153" s="44" t="s">
        <v>469</v>
      </c>
      <c r="H153" s="18" t="s">
        <v>470</v>
      </c>
    </row>
    <row r="154" spans="3:8" ht="32.25" thickBot="1">
      <c r="C154" s="41" t="s">
        <v>471</v>
      </c>
      <c r="D154" s="42" t="s">
        <v>472</v>
      </c>
      <c r="E154" s="44" t="s">
        <v>473</v>
      </c>
      <c r="F154" s="18" t="s">
        <v>444</v>
      </c>
      <c r="G154" s="44" t="s">
        <v>474</v>
      </c>
      <c r="H154" s="18" t="s">
        <v>452</v>
      </c>
    </row>
    <row r="155" spans="3:8" ht="16.5" thickBot="1">
      <c r="C155" s="41" t="s">
        <v>475</v>
      </c>
      <c r="D155" s="47" t="s">
        <v>476</v>
      </c>
      <c r="E155" s="44">
        <v>12</v>
      </c>
      <c r="F155" s="48">
        <v>5.0000000000000001E-3</v>
      </c>
      <c r="G155" s="18" t="s">
        <v>477</v>
      </c>
      <c r="H155" s="49">
        <v>0</v>
      </c>
    </row>
    <row r="156" spans="3:8" ht="79.5" customHeight="1">
      <c r="C156" s="300" t="s">
        <v>478</v>
      </c>
      <c r="D156" s="300"/>
      <c r="E156" s="300"/>
      <c r="F156" s="300"/>
      <c r="G156" s="300"/>
      <c r="H156" s="300"/>
    </row>
    <row r="158" spans="3:8" ht="16.5" thickBot="1"/>
    <row r="159" spans="3:8" ht="16.5" thickBot="1">
      <c r="C159" s="301" t="s">
        <v>479</v>
      </c>
      <c r="D159" s="301"/>
      <c r="E159" s="301"/>
      <c r="F159" s="301"/>
      <c r="G159" s="301"/>
      <c r="H159" s="301"/>
    </row>
    <row r="160" spans="3:8" ht="48" thickBot="1">
      <c r="C160" s="15" t="s">
        <v>480</v>
      </c>
      <c r="D160" s="15" t="s">
        <v>481</v>
      </c>
      <c r="E160" s="31" t="s">
        <v>482</v>
      </c>
      <c r="F160" s="267" t="s">
        <v>258</v>
      </c>
      <c r="G160" s="267"/>
      <c r="H160" s="267"/>
    </row>
    <row r="161" spans="3:8" ht="19.5" thickBot="1">
      <c r="C161" s="32" t="s">
        <v>483</v>
      </c>
      <c r="D161" s="33" t="s">
        <v>484</v>
      </c>
      <c r="E161" s="33">
        <v>1</v>
      </c>
      <c r="F161" s="281" t="s">
        <v>485</v>
      </c>
      <c r="G161" s="281"/>
      <c r="H161" s="281"/>
    </row>
    <row r="162" spans="3:8" ht="19.5" thickBot="1">
      <c r="C162" s="32" t="s">
        <v>486</v>
      </c>
      <c r="D162" s="33" t="s">
        <v>487</v>
      </c>
      <c r="E162" s="33">
        <v>21</v>
      </c>
      <c r="F162" s="281" t="s">
        <v>485</v>
      </c>
      <c r="G162" s="281"/>
      <c r="H162" s="281"/>
    </row>
    <row r="163" spans="3:8" ht="19.5" thickBot="1">
      <c r="C163" s="32" t="s">
        <v>488</v>
      </c>
      <c r="D163" s="33" t="s">
        <v>489</v>
      </c>
      <c r="E163" s="33">
        <v>310</v>
      </c>
      <c r="F163" s="281" t="s">
        <v>485</v>
      </c>
      <c r="G163" s="281"/>
      <c r="H163" s="281"/>
    </row>
    <row r="164" spans="3:8" ht="16.5" thickBot="1">
      <c r="C164" s="282" t="s">
        <v>490</v>
      </c>
      <c r="D164" s="282"/>
      <c r="E164" s="282"/>
      <c r="F164" s="282"/>
      <c r="G164" s="282"/>
      <c r="H164" s="282"/>
    </row>
    <row r="165" spans="3:8" ht="19.5" thickBot="1">
      <c r="C165" s="34" t="s">
        <v>491</v>
      </c>
      <c r="D165" s="34" t="s">
        <v>492</v>
      </c>
      <c r="E165" s="34" t="s">
        <v>493</v>
      </c>
      <c r="F165" s="268" t="s">
        <v>494</v>
      </c>
      <c r="G165" s="268"/>
      <c r="H165" s="268"/>
    </row>
    <row r="166" spans="3:8" ht="19.5" thickBot="1">
      <c r="C166" s="127" t="s">
        <v>495</v>
      </c>
      <c r="D166" s="127" t="s">
        <v>496</v>
      </c>
      <c r="E166" s="127">
        <v>10900</v>
      </c>
      <c r="F166" s="283" t="s">
        <v>494</v>
      </c>
      <c r="G166" s="283"/>
      <c r="H166" s="283"/>
    </row>
    <row r="167" spans="3:8" ht="19.5" thickBot="1">
      <c r="C167" s="34" t="s">
        <v>497</v>
      </c>
      <c r="D167" s="34" t="s">
        <v>498</v>
      </c>
      <c r="E167" s="34">
        <v>14400</v>
      </c>
      <c r="F167" s="268" t="s">
        <v>494</v>
      </c>
      <c r="G167" s="268"/>
      <c r="H167" s="268"/>
    </row>
    <row r="168" spans="3:8" ht="19.5" thickBot="1">
      <c r="C168" s="34" t="s">
        <v>499</v>
      </c>
      <c r="D168" s="34" t="s">
        <v>500</v>
      </c>
      <c r="E168" s="34">
        <v>6130</v>
      </c>
      <c r="F168" s="268" t="s">
        <v>494</v>
      </c>
      <c r="G168" s="268"/>
      <c r="H168" s="268"/>
    </row>
    <row r="169" spans="3:8" ht="19.5" thickBot="1">
      <c r="C169" s="34" t="s">
        <v>501</v>
      </c>
      <c r="D169" s="34" t="s">
        <v>502</v>
      </c>
      <c r="E169" s="34">
        <v>10000</v>
      </c>
      <c r="F169" s="268" t="s">
        <v>494</v>
      </c>
      <c r="G169" s="268"/>
      <c r="H169" s="268"/>
    </row>
    <row r="170" spans="3:8" ht="19.5" thickBot="1">
      <c r="C170" s="34" t="s">
        <v>503</v>
      </c>
      <c r="D170" s="34" t="s">
        <v>504</v>
      </c>
      <c r="E170" s="34">
        <v>7370</v>
      </c>
      <c r="F170" s="268" t="s">
        <v>494</v>
      </c>
      <c r="G170" s="268"/>
      <c r="H170" s="268"/>
    </row>
    <row r="171" spans="3:8" ht="19.5" thickBot="1">
      <c r="C171" s="34" t="s">
        <v>505</v>
      </c>
      <c r="D171" s="34" t="s">
        <v>506</v>
      </c>
      <c r="E171" s="34">
        <v>7140</v>
      </c>
      <c r="F171" s="268" t="s">
        <v>494</v>
      </c>
      <c r="G171" s="268"/>
      <c r="H171" s="268"/>
    </row>
    <row r="172" spans="3:8" ht="19.5" thickBot="1">
      <c r="C172" s="34" t="s">
        <v>507</v>
      </c>
      <c r="D172" s="34" t="s">
        <v>508</v>
      </c>
      <c r="E172" s="34">
        <v>1890</v>
      </c>
      <c r="F172" s="268" t="s">
        <v>494</v>
      </c>
      <c r="G172" s="268"/>
      <c r="H172" s="268"/>
    </row>
    <row r="173" spans="3:8" ht="19.5" thickBot="1">
      <c r="C173" s="34" t="s">
        <v>509</v>
      </c>
      <c r="D173" s="34" t="s">
        <v>510</v>
      </c>
      <c r="E173" s="34">
        <v>1640</v>
      </c>
      <c r="F173" s="268" t="s">
        <v>494</v>
      </c>
      <c r="G173" s="268"/>
      <c r="H173" s="268"/>
    </row>
    <row r="174" spans="3:8" ht="19.5" thickBot="1">
      <c r="C174" s="34" t="s">
        <v>511</v>
      </c>
      <c r="D174" s="34" t="s">
        <v>512</v>
      </c>
      <c r="E174" s="34">
        <v>1400</v>
      </c>
      <c r="F174" s="268" t="s">
        <v>494</v>
      </c>
      <c r="G174" s="268"/>
      <c r="H174" s="268"/>
    </row>
    <row r="175" spans="3:8" ht="19.5" thickBot="1">
      <c r="C175" s="34" t="s">
        <v>513</v>
      </c>
      <c r="D175" s="34" t="s">
        <v>514</v>
      </c>
      <c r="E175" s="34" t="s">
        <v>515</v>
      </c>
      <c r="F175" s="268" t="s">
        <v>494</v>
      </c>
      <c r="G175" s="268"/>
      <c r="H175" s="268"/>
    </row>
    <row r="176" spans="3:8" ht="19.5" thickBot="1">
      <c r="C176" s="34" t="s">
        <v>516</v>
      </c>
      <c r="D176" s="34" t="s">
        <v>517</v>
      </c>
      <c r="E176" s="34" t="s">
        <v>518</v>
      </c>
      <c r="F176" s="268" t="s">
        <v>494</v>
      </c>
      <c r="G176" s="268"/>
      <c r="H176" s="268"/>
    </row>
    <row r="177" spans="3:8" ht="19.5" thickBot="1">
      <c r="C177" s="34" t="s">
        <v>519</v>
      </c>
      <c r="D177" s="34" t="s">
        <v>520</v>
      </c>
      <c r="E177" s="34" t="s">
        <v>521</v>
      </c>
      <c r="F177" s="268" t="s">
        <v>494</v>
      </c>
      <c r="G177" s="268"/>
      <c r="H177" s="268"/>
    </row>
    <row r="178" spans="3:8" ht="19.5" thickBot="1">
      <c r="C178" s="127" t="s">
        <v>522</v>
      </c>
      <c r="D178" s="127" t="s">
        <v>523</v>
      </c>
      <c r="E178" s="127">
        <v>1810</v>
      </c>
      <c r="F178" s="283" t="s">
        <v>494</v>
      </c>
      <c r="G178" s="283"/>
      <c r="H178" s="283"/>
    </row>
    <row r="179" spans="3:8" ht="19.5" thickBot="1">
      <c r="C179" s="127" t="s">
        <v>524</v>
      </c>
      <c r="D179" s="127" t="s">
        <v>525</v>
      </c>
      <c r="E179" s="127">
        <v>77</v>
      </c>
      <c r="F179" s="283" t="s">
        <v>494</v>
      </c>
      <c r="G179" s="283"/>
      <c r="H179" s="283"/>
    </row>
    <row r="180" spans="3:8" ht="16.5" thickBot="1">
      <c r="C180" s="127" t="s">
        <v>526</v>
      </c>
      <c r="D180" s="127"/>
      <c r="E180" s="127">
        <f>E179-(E179*0.97)</f>
        <v>2.3100000000000023</v>
      </c>
      <c r="F180" s="284" t="s">
        <v>527</v>
      </c>
      <c r="G180" s="285"/>
      <c r="H180" s="286"/>
    </row>
    <row r="181" spans="3:8" ht="19.5" thickBot="1">
      <c r="C181" s="34" t="s">
        <v>528</v>
      </c>
      <c r="D181" s="34" t="s">
        <v>529</v>
      </c>
      <c r="E181" s="34" t="s">
        <v>530</v>
      </c>
      <c r="F181" s="268" t="s">
        <v>494</v>
      </c>
      <c r="G181" s="268"/>
      <c r="H181" s="268"/>
    </row>
    <row r="182" spans="3:8" ht="19.5" thickBot="1">
      <c r="C182" s="127" t="s">
        <v>531</v>
      </c>
      <c r="D182" s="127" t="s">
        <v>532</v>
      </c>
      <c r="E182" s="127">
        <v>725</v>
      </c>
      <c r="F182" s="284" t="s">
        <v>494</v>
      </c>
      <c r="G182" s="285"/>
      <c r="H182" s="286"/>
    </row>
    <row r="183" spans="3:8" ht="19.5" thickBot="1">
      <c r="C183" s="34" t="s">
        <v>533</v>
      </c>
      <c r="D183" s="34" t="s">
        <v>534</v>
      </c>
      <c r="E183" s="34">
        <v>2310</v>
      </c>
      <c r="F183" s="268" t="s">
        <v>494</v>
      </c>
      <c r="G183" s="268"/>
      <c r="H183" s="268"/>
    </row>
    <row r="184" spans="3:8" ht="19.5" thickBot="1">
      <c r="C184" s="34" t="s">
        <v>535</v>
      </c>
      <c r="D184" s="34" t="s">
        <v>536</v>
      </c>
      <c r="E184" s="34" t="s">
        <v>537</v>
      </c>
      <c r="F184" s="268" t="s">
        <v>494</v>
      </c>
      <c r="G184" s="268"/>
      <c r="H184" s="268"/>
    </row>
    <row r="185" spans="3:8" ht="19.5" thickBot="1">
      <c r="C185" s="34" t="s">
        <v>538</v>
      </c>
      <c r="D185" s="34" t="s">
        <v>539</v>
      </c>
      <c r="E185" s="34" t="s">
        <v>540</v>
      </c>
      <c r="F185" s="268" t="s">
        <v>494</v>
      </c>
      <c r="G185" s="268"/>
      <c r="H185" s="268"/>
    </row>
    <row r="186" spans="3:8" ht="16.5" thickBot="1">
      <c r="C186" s="288" t="s">
        <v>541</v>
      </c>
      <c r="D186" s="288"/>
      <c r="E186" s="288"/>
      <c r="F186" s="288"/>
      <c r="G186" s="288"/>
      <c r="H186" s="288"/>
    </row>
    <row r="187" spans="3:8" ht="19.5" thickBot="1">
      <c r="C187" s="127" t="s">
        <v>542</v>
      </c>
      <c r="D187" s="127" t="s">
        <v>543</v>
      </c>
      <c r="E187" s="127">
        <v>11700</v>
      </c>
      <c r="F187" s="287" t="s">
        <v>485</v>
      </c>
      <c r="G187" s="287"/>
      <c r="H187" s="287"/>
    </row>
    <row r="188" spans="3:8" ht="19.5" thickBot="1">
      <c r="C188" s="32" t="s">
        <v>544</v>
      </c>
      <c r="D188" s="32" t="s">
        <v>545</v>
      </c>
      <c r="E188" s="32" t="s">
        <v>546</v>
      </c>
      <c r="F188" s="281" t="s">
        <v>485</v>
      </c>
      <c r="G188" s="281"/>
      <c r="H188" s="281"/>
    </row>
    <row r="189" spans="3:8" ht="19.5" thickBot="1">
      <c r="C189" s="32" t="s">
        <v>547</v>
      </c>
      <c r="D189" s="32" t="s">
        <v>548</v>
      </c>
      <c r="E189" s="32" t="s">
        <v>549</v>
      </c>
      <c r="F189" s="281" t="s">
        <v>485</v>
      </c>
      <c r="G189" s="281"/>
      <c r="H189" s="281"/>
    </row>
    <row r="190" spans="3:8" ht="19.5" thickBot="1">
      <c r="C190" s="32" t="s">
        <v>550</v>
      </c>
      <c r="D190" s="32" t="s">
        <v>551</v>
      </c>
      <c r="E190" s="32">
        <v>2800</v>
      </c>
      <c r="F190" s="281" t="s">
        <v>485</v>
      </c>
      <c r="G190" s="281"/>
      <c r="H190" s="281"/>
    </row>
    <row r="191" spans="3:8" ht="19.5" thickBot="1">
      <c r="C191" s="32" t="s">
        <v>552</v>
      </c>
      <c r="D191" s="32" t="s">
        <v>553</v>
      </c>
      <c r="E191" s="32" t="s">
        <v>554</v>
      </c>
      <c r="F191" s="281" t="s">
        <v>485</v>
      </c>
      <c r="G191" s="281"/>
      <c r="H191" s="281"/>
    </row>
    <row r="192" spans="3:8" ht="19.5" thickBot="1">
      <c r="C192" s="127" t="s">
        <v>555</v>
      </c>
      <c r="D192" s="127" t="s">
        <v>556</v>
      </c>
      <c r="E192" s="127">
        <v>1300</v>
      </c>
      <c r="F192" s="287" t="s">
        <v>485</v>
      </c>
      <c r="G192" s="287"/>
      <c r="H192" s="287"/>
    </row>
    <row r="193" spans="3:8" ht="19.5" thickBot="1">
      <c r="C193" s="32" t="s">
        <v>557</v>
      </c>
      <c r="D193" s="32" t="s">
        <v>558</v>
      </c>
      <c r="E193" s="32" t="s">
        <v>559</v>
      </c>
      <c r="F193" s="281" t="s">
        <v>485</v>
      </c>
      <c r="G193" s="281"/>
      <c r="H193" s="281"/>
    </row>
    <row r="194" spans="3:8" ht="19.5" thickBot="1">
      <c r="C194" s="32" t="s">
        <v>560</v>
      </c>
      <c r="D194" s="32" t="s">
        <v>561</v>
      </c>
      <c r="E194" s="32">
        <v>3800</v>
      </c>
      <c r="F194" s="281" t="s">
        <v>485</v>
      </c>
      <c r="G194" s="281"/>
      <c r="H194" s="281"/>
    </row>
    <row r="195" spans="3:8" ht="19.5" thickBot="1">
      <c r="C195" s="34" t="s">
        <v>562</v>
      </c>
      <c r="D195" s="34" t="s">
        <v>563</v>
      </c>
      <c r="E195" s="34" t="s">
        <v>564</v>
      </c>
      <c r="F195" s="268" t="s">
        <v>494</v>
      </c>
      <c r="G195" s="268"/>
      <c r="H195" s="268"/>
    </row>
    <row r="196" spans="3:8" ht="19.5" thickBot="1">
      <c r="C196" s="32" t="s">
        <v>565</v>
      </c>
      <c r="D196" s="33" t="s">
        <v>566</v>
      </c>
      <c r="E196" s="33" t="s">
        <v>567</v>
      </c>
      <c r="F196" s="281" t="s">
        <v>485</v>
      </c>
      <c r="G196" s="281"/>
      <c r="H196" s="281"/>
    </row>
    <row r="197" spans="3:8" ht="19.5" thickBot="1">
      <c r="C197" s="34" t="s">
        <v>568</v>
      </c>
      <c r="D197" s="35" t="s">
        <v>569</v>
      </c>
      <c r="E197" s="35">
        <v>12</v>
      </c>
      <c r="F197" s="268" t="s">
        <v>494</v>
      </c>
      <c r="G197" s="268"/>
      <c r="H197" s="268"/>
    </row>
    <row r="198" spans="3:8" ht="19.5" thickBot="1">
      <c r="C198" s="32" t="s">
        <v>570</v>
      </c>
      <c r="D198" s="33" t="s">
        <v>571</v>
      </c>
      <c r="E198" s="33">
        <v>2900</v>
      </c>
      <c r="F198" s="281" t="s">
        <v>485</v>
      </c>
      <c r="G198" s="281"/>
      <c r="H198" s="281"/>
    </row>
    <row r="199" spans="3:8" ht="19.5" thickBot="1">
      <c r="C199" s="34" t="s">
        <v>572</v>
      </c>
      <c r="D199" s="35" t="s">
        <v>573</v>
      </c>
      <c r="E199" s="35">
        <v>1340</v>
      </c>
      <c r="F199" s="268" t="s">
        <v>494</v>
      </c>
      <c r="G199" s="268"/>
      <c r="H199" s="268"/>
    </row>
    <row r="200" spans="3:8" ht="19.5" thickBot="1">
      <c r="C200" s="34" t="s">
        <v>574</v>
      </c>
      <c r="D200" s="35" t="s">
        <v>575</v>
      </c>
      <c r="E200" s="35">
        <v>1370</v>
      </c>
      <c r="F200" s="268" t="s">
        <v>494</v>
      </c>
      <c r="G200" s="268"/>
      <c r="H200" s="268"/>
    </row>
    <row r="201" spans="3:8" ht="19.5" thickBot="1">
      <c r="C201" s="32" t="s">
        <v>576</v>
      </c>
      <c r="D201" s="33" t="s">
        <v>577</v>
      </c>
      <c r="E201" s="33">
        <v>6300</v>
      </c>
      <c r="F201" s="281" t="s">
        <v>485</v>
      </c>
      <c r="G201" s="281"/>
      <c r="H201" s="281"/>
    </row>
    <row r="202" spans="3:8" ht="19.5" thickBot="1">
      <c r="C202" s="32" t="s">
        <v>578</v>
      </c>
      <c r="D202" s="33" t="s">
        <v>579</v>
      </c>
      <c r="E202" s="33" t="s">
        <v>580</v>
      </c>
      <c r="F202" s="281" t="s">
        <v>485</v>
      </c>
      <c r="G202" s="281"/>
      <c r="H202" s="281"/>
    </row>
    <row r="203" spans="3:8" ht="19.5" thickBot="1">
      <c r="C203" s="34" t="s">
        <v>581</v>
      </c>
      <c r="D203" s="35" t="s">
        <v>582</v>
      </c>
      <c r="E203" s="35">
        <v>1030</v>
      </c>
      <c r="F203" s="268" t="s">
        <v>494</v>
      </c>
      <c r="G203" s="268"/>
      <c r="H203" s="268"/>
    </row>
    <row r="204" spans="3:8" ht="19.5" thickBot="1">
      <c r="C204" s="34" t="s">
        <v>583</v>
      </c>
      <c r="D204" s="35" t="s">
        <v>584</v>
      </c>
      <c r="E204" s="35" t="s">
        <v>585</v>
      </c>
      <c r="F204" s="268" t="s">
        <v>494</v>
      </c>
      <c r="G204" s="268"/>
      <c r="H204" s="268"/>
    </row>
    <row r="205" spans="3:8" ht="19.5" thickBot="1">
      <c r="C205" s="32" t="s">
        <v>586</v>
      </c>
      <c r="D205" s="33" t="s">
        <v>587</v>
      </c>
      <c r="E205" s="33">
        <v>1300</v>
      </c>
      <c r="F205" s="281" t="s">
        <v>485</v>
      </c>
      <c r="G205" s="281"/>
      <c r="H205" s="281"/>
    </row>
    <row r="206" spans="3:8" ht="16.5" thickBot="1">
      <c r="C206" s="288" t="s">
        <v>588</v>
      </c>
      <c r="D206" s="288"/>
      <c r="E206" s="288"/>
      <c r="F206" s="288"/>
      <c r="G206" s="288"/>
      <c r="H206" s="288"/>
    </row>
    <row r="207" spans="3:8" ht="19.5" thickBot="1">
      <c r="C207" s="127" t="s">
        <v>589</v>
      </c>
      <c r="D207" s="127" t="s">
        <v>590</v>
      </c>
      <c r="E207" s="127">
        <v>23900</v>
      </c>
      <c r="F207" s="287" t="s">
        <v>485</v>
      </c>
      <c r="G207" s="287"/>
      <c r="H207" s="287"/>
    </row>
    <row r="208" spans="3:8" ht="19.5" thickBot="1">
      <c r="C208" s="37" t="s">
        <v>591</v>
      </c>
      <c r="D208" s="35" t="s">
        <v>592</v>
      </c>
      <c r="E208" s="35">
        <v>17200</v>
      </c>
      <c r="F208" s="268" t="s">
        <v>494</v>
      </c>
      <c r="G208" s="268"/>
      <c r="H208" s="268"/>
    </row>
    <row r="209" spans="3:8" ht="19.5" thickBot="1">
      <c r="C209" s="32" t="s">
        <v>593</v>
      </c>
      <c r="D209" s="33" t="s">
        <v>594</v>
      </c>
      <c r="E209" s="33">
        <v>6500</v>
      </c>
      <c r="F209" s="289" t="s">
        <v>485</v>
      </c>
      <c r="G209" s="289"/>
      <c r="H209" s="289"/>
    </row>
    <row r="210" spans="3:8" ht="19.5" thickBot="1">
      <c r="C210" s="32" t="s">
        <v>595</v>
      </c>
      <c r="D210" s="33" t="s">
        <v>596</v>
      </c>
      <c r="E210" s="33">
        <v>9200</v>
      </c>
      <c r="F210" s="289" t="s">
        <v>485</v>
      </c>
      <c r="G210" s="289"/>
      <c r="H210" s="289"/>
    </row>
    <row r="211" spans="3:8" ht="19.5" thickBot="1">
      <c r="C211" s="32" t="s">
        <v>597</v>
      </c>
      <c r="D211" s="33" t="s">
        <v>598</v>
      </c>
      <c r="E211" s="33">
        <v>7000</v>
      </c>
      <c r="F211" s="289" t="s">
        <v>485</v>
      </c>
      <c r="G211" s="289"/>
      <c r="H211" s="289"/>
    </row>
    <row r="212" spans="3:8" ht="19.5" thickBot="1">
      <c r="C212" s="32" t="s">
        <v>599</v>
      </c>
      <c r="D212" s="33" t="s">
        <v>600</v>
      </c>
      <c r="E212" s="33">
        <v>8700</v>
      </c>
      <c r="F212" s="289" t="s">
        <v>485</v>
      </c>
      <c r="G212" s="289"/>
      <c r="H212" s="289"/>
    </row>
    <row r="213" spans="3:8" ht="19.5" thickBot="1">
      <c r="C213" s="32" t="s">
        <v>601</v>
      </c>
      <c r="D213" s="33" t="s">
        <v>602</v>
      </c>
      <c r="E213" s="33">
        <v>7000</v>
      </c>
      <c r="F213" s="289" t="s">
        <v>485</v>
      </c>
      <c r="G213" s="289"/>
      <c r="H213" s="289"/>
    </row>
    <row r="214" spans="3:8" ht="19.5" thickBot="1">
      <c r="C214" s="32" t="s">
        <v>603</v>
      </c>
      <c r="D214" s="33" t="s">
        <v>604</v>
      </c>
      <c r="E214" s="33">
        <v>7500</v>
      </c>
      <c r="F214" s="289" t="s">
        <v>485</v>
      </c>
      <c r="G214" s="289"/>
      <c r="H214" s="289"/>
    </row>
    <row r="215" spans="3:8" ht="19.5" thickBot="1">
      <c r="C215" s="32" t="s">
        <v>605</v>
      </c>
      <c r="D215" s="33" t="s">
        <v>606</v>
      </c>
      <c r="E215" s="33">
        <v>7400</v>
      </c>
      <c r="F215" s="289" t="s">
        <v>485</v>
      </c>
      <c r="G215" s="289"/>
      <c r="H215" s="289"/>
    </row>
    <row r="216" spans="3:8" ht="19.5" thickBot="1">
      <c r="C216" s="34" t="s">
        <v>607</v>
      </c>
      <c r="D216" s="35" t="s">
        <v>608</v>
      </c>
      <c r="E216" s="35" t="s">
        <v>609</v>
      </c>
      <c r="F216" s="268" t="s">
        <v>494</v>
      </c>
      <c r="G216" s="268"/>
      <c r="H216" s="268"/>
    </row>
    <row r="217" spans="3:8" ht="19.5" thickBot="1">
      <c r="C217" s="34" t="s">
        <v>610</v>
      </c>
      <c r="D217" s="35" t="s">
        <v>611</v>
      </c>
      <c r="E217" s="35">
        <v>17700</v>
      </c>
      <c r="F217" s="268" t="s">
        <v>494</v>
      </c>
      <c r="G217" s="268"/>
      <c r="H217" s="268"/>
    </row>
    <row r="218" spans="3:8" ht="19.5" thickBot="1">
      <c r="C218" s="34" t="s">
        <v>612</v>
      </c>
      <c r="D218" s="35" t="s">
        <v>613</v>
      </c>
      <c r="E218" s="35" t="s">
        <v>614</v>
      </c>
      <c r="F218" s="268" t="s">
        <v>494</v>
      </c>
      <c r="G218" s="268"/>
      <c r="H218" s="268"/>
    </row>
    <row r="219" spans="3:8" ht="16.5" thickBot="1">
      <c r="C219" s="288" t="s">
        <v>615</v>
      </c>
      <c r="D219" s="288"/>
      <c r="E219" s="288"/>
      <c r="F219" s="288"/>
      <c r="G219" s="288"/>
      <c r="H219" s="288"/>
    </row>
    <row r="220" spans="3:8" ht="19.5" thickBot="1">
      <c r="C220" s="34" t="s">
        <v>616</v>
      </c>
      <c r="D220" s="34" t="s">
        <v>617</v>
      </c>
      <c r="E220" s="34">
        <v>14900</v>
      </c>
      <c r="F220" s="268" t="s">
        <v>494</v>
      </c>
      <c r="G220" s="268"/>
      <c r="H220" s="268"/>
    </row>
    <row r="221" spans="3:8" ht="19.5" thickBot="1">
      <c r="C221" s="34" t="s">
        <v>618</v>
      </c>
      <c r="D221" s="34" t="s">
        <v>619</v>
      </c>
      <c r="E221" s="34">
        <v>6320</v>
      </c>
      <c r="F221" s="268" t="s">
        <v>494</v>
      </c>
      <c r="G221" s="268"/>
      <c r="H221" s="268"/>
    </row>
    <row r="222" spans="3:8" ht="19.5" thickBot="1">
      <c r="C222" s="34" t="s">
        <v>620</v>
      </c>
      <c r="D222" s="34" t="s">
        <v>621</v>
      </c>
      <c r="E222" s="34" t="s">
        <v>622</v>
      </c>
      <c r="F222" s="268" t="s">
        <v>494</v>
      </c>
      <c r="G222" s="268"/>
      <c r="H222" s="268"/>
    </row>
    <row r="223" spans="3:8" ht="19.5" thickBot="1">
      <c r="C223" s="34" t="s">
        <v>623</v>
      </c>
      <c r="D223" s="34" t="s">
        <v>624</v>
      </c>
      <c r="E223" s="34" t="s">
        <v>625</v>
      </c>
      <c r="F223" s="268" t="s">
        <v>494</v>
      </c>
      <c r="G223" s="268"/>
      <c r="H223" s="268"/>
    </row>
    <row r="224" spans="3:8" ht="19.5" thickBot="1">
      <c r="C224" s="34" t="s">
        <v>626</v>
      </c>
      <c r="D224" s="34" t="s">
        <v>627</v>
      </c>
      <c r="E224" s="34" t="s">
        <v>628</v>
      </c>
      <c r="F224" s="268" t="s">
        <v>494</v>
      </c>
      <c r="G224" s="268"/>
      <c r="H224" s="268"/>
    </row>
    <row r="225" spans="3:8" ht="19.5" thickBot="1">
      <c r="C225" s="34" t="s">
        <v>629</v>
      </c>
      <c r="D225" s="34" t="s">
        <v>630</v>
      </c>
      <c r="E225" s="34" t="s">
        <v>631</v>
      </c>
      <c r="F225" s="268" t="s">
        <v>494</v>
      </c>
      <c r="G225" s="268"/>
      <c r="H225" s="268"/>
    </row>
    <row r="226" spans="3:8" ht="19.5" thickBot="1">
      <c r="C226" s="34" t="s">
        <v>632</v>
      </c>
      <c r="D226" s="34" t="s">
        <v>633</v>
      </c>
      <c r="E226" s="34" t="s">
        <v>634</v>
      </c>
      <c r="F226" s="268" t="s">
        <v>494</v>
      </c>
      <c r="G226" s="268"/>
      <c r="H226" s="268"/>
    </row>
    <row r="227" spans="3:8" ht="19.5" thickBot="1">
      <c r="C227" s="34" t="s">
        <v>635</v>
      </c>
      <c r="D227" s="34" t="s">
        <v>636</v>
      </c>
      <c r="E227" s="34" t="s">
        <v>637</v>
      </c>
      <c r="F227" s="268" t="s">
        <v>494</v>
      </c>
      <c r="G227" s="268"/>
      <c r="H227" s="268"/>
    </row>
    <row r="228" spans="3:8" ht="19.5" thickBot="1">
      <c r="C228" s="34" t="s">
        <v>638</v>
      </c>
      <c r="D228" s="34" t="s">
        <v>639</v>
      </c>
      <c r="E228" s="34" t="s">
        <v>640</v>
      </c>
      <c r="F228" s="268" t="s">
        <v>494</v>
      </c>
      <c r="G228" s="268"/>
      <c r="H228" s="268"/>
    </row>
    <row r="229" spans="3:8" ht="19.5" thickBot="1">
      <c r="C229" s="34" t="s">
        <v>641</v>
      </c>
      <c r="D229" s="34" t="s">
        <v>642</v>
      </c>
      <c r="E229" s="34" t="s">
        <v>643</v>
      </c>
      <c r="F229" s="268" t="s">
        <v>494</v>
      </c>
      <c r="G229" s="268"/>
      <c r="H229" s="268"/>
    </row>
    <row r="230" spans="3:8" ht="19.5" thickBot="1">
      <c r="C230" s="34" t="s">
        <v>644</v>
      </c>
      <c r="D230" s="34" t="s">
        <v>645</v>
      </c>
      <c r="E230" s="34" t="s">
        <v>646</v>
      </c>
      <c r="F230" s="268" t="s">
        <v>494</v>
      </c>
      <c r="G230" s="268"/>
      <c r="H230" s="268"/>
    </row>
    <row r="231" spans="3:8" ht="19.5" thickBot="1">
      <c r="C231" s="34" t="s">
        <v>647</v>
      </c>
      <c r="D231" s="34" t="s">
        <v>648</v>
      </c>
      <c r="E231" s="34" t="s">
        <v>649</v>
      </c>
      <c r="F231" s="268" t="s">
        <v>494</v>
      </c>
      <c r="G231" s="268"/>
      <c r="H231" s="268"/>
    </row>
    <row r="232" spans="3:8" ht="19.5" thickBot="1">
      <c r="C232" s="34" t="s">
        <v>650</v>
      </c>
      <c r="D232" s="34" t="s">
        <v>651</v>
      </c>
      <c r="E232" s="34">
        <v>1870</v>
      </c>
      <c r="F232" s="268" t="s">
        <v>494</v>
      </c>
      <c r="G232" s="268"/>
      <c r="H232" s="268"/>
    </row>
    <row r="233" spans="3:8" ht="19.5" thickBot="1">
      <c r="C233" s="34" t="s">
        <v>652</v>
      </c>
      <c r="D233" s="34" t="s">
        <v>653</v>
      </c>
      <c r="E233" s="34">
        <v>2800</v>
      </c>
      <c r="F233" s="268" t="s">
        <v>494</v>
      </c>
      <c r="G233" s="268"/>
      <c r="H233" s="268"/>
    </row>
    <row r="234" spans="3:8" ht="19.5" thickBot="1">
      <c r="C234" s="34" t="s">
        <v>654</v>
      </c>
      <c r="D234" s="34" t="s">
        <v>655</v>
      </c>
      <c r="E234" s="34">
        <v>1500</v>
      </c>
      <c r="F234" s="268" t="s">
        <v>494</v>
      </c>
      <c r="G234" s="268"/>
      <c r="H234" s="268"/>
    </row>
    <row r="235" spans="3:8" ht="19.5" thickBot="1">
      <c r="C235" s="34"/>
      <c r="D235" s="34" t="s">
        <v>656</v>
      </c>
      <c r="E235" s="34" t="s">
        <v>657</v>
      </c>
      <c r="F235" s="268" t="s">
        <v>494</v>
      </c>
      <c r="G235" s="268"/>
      <c r="H235" s="268"/>
    </row>
    <row r="236" spans="3:8" ht="19.5" thickBot="1">
      <c r="C236" s="34"/>
      <c r="D236" s="34" t="s">
        <v>658</v>
      </c>
      <c r="E236" s="34" t="s">
        <v>659</v>
      </c>
      <c r="F236" s="268" t="s">
        <v>494</v>
      </c>
      <c r="G236" s="268"/>
      <c r="H236" s="268"/>
    </row>
    <row r="237" spans="3:8" ht="19.5" thickBot="1">
      <c r="C237" s="34"/>
      <c r="D237" s="34" t="s">
        <v>660</v>
      </c>
      <c r="E237" s="34" t="s">
        <v>661</v>
      </c>
      <c r="F237" s="268" t="s">
        <v>494</v>
      </c>
      <c r="G237" s="268"/>
      <c r="H237" s="268"/>
    </row>
    <row r="238" spans="3:8" ht="19.5" thickBot="1">
      <c r="C238" s="34" t="s">
        <v>662</v>
      </c>
      <c r="D238" s="34" t="s">
        <v>663</v>
      </c>
      <c r="E238" s="34">
        <v>1540</v>
      </c>
      <c r="F238" s="268" t="s">
        <v>494</v>
      </c>
      <c r="G238" s="268"/>
      <c r="H238" s="268"/>
    </row>
    <row r="239" spans="3:8" ht="19.5" thickBot="1">
      <c r="C239" s="34" t="s">
        <v>664</v>
      </c>
      <c r="D239" s="34" t="s">
        <v>665</v>
      </c>
      <c r="E239" s="34" t="s">
        <v>666</v>
      </c>
      <c r="F239" s="268" t="s">
        <v>494</v>
      </c>
      <c r="G239" s="268"/>
      <c r="H239" s="268"/>
    </row>
    <row r="240" spans="3:8" ht="19.5" thickBot="1">
      <c r="C240" s="34" t="s">
        <v>667</v>
      </c>
      <c r="D240" s="34" t="s">
        <v>668</v>
      </c>
      <c r="E240" s="34" t="s">
        <v>669</v>
      </c>
      <c r="F240" s="268" t="s">
        <v>494</v>
      </c>
      <c r="G240" s="268"/>
      <c r="H240" s="268"/>
    </row>
    <row r="241" spans="3:8" ht="19.5" thickBot="1">
      <c r="C241" s="34" t="s">
        <v>670</v>
      </c>
      <c r="D241" s="34" t="s">
        <v>671</v>
      </c>
      <c r="E241" s="34" t="s">
        <v>672</v>
      </c>
      <c r="F241" s="268" t="s">
        <v>494</v>
      </c>
      <c r="G241" s="268"/>
      <c r="H241" s="268"/>
    </row>
    <row r="242" spans="3:8" ht="19.5" thickBot="1">
      <c r="C242" s="34" t="s">
        <v>673</v>
      </c>
      <c r="D242" s="34" t="s">
        <v>674</v>
      </c>
      <c r="E242" s="34" t="s">
        <v>675</v>
      </c>
      <c r="F242" s="268" t="s">
        <v>494</v>
      </c>
      <c r="G242" s="268"/>
      <c r="H242" s="268"/>
    </row>
    <row r="243" spans="3:8" ht="19.5" thickBot="1">
      <c r="C243" s="34" t="s">
        <v>676</v>
      </c>
      <c r="D243" s="34" t="s">
        <v>677</v>
      </c>
      <c r="E243" s="34" t="s">
        <v>678</v>
      </c>
      <c r="F243" s="268" t="s">
        <v>494</v>
      </c>
      <c r="G243" s="268"/>
      <c r="H243" s="268"/>
    </row>
    <row r="244" spans="3:8" ht="19.5" thickBot="1">
      <c r="C244" s="34" t="s">
        <v>679</v>
      </c>
      <c r="D244" s="34" t="s">
        <v>680</v>
      </c>
      <c r="E244" s="34" t="s">
        <v>681</v>
      </c>
      <c r="F244" s="268" t="s">
        <v>494</v>
      </c>
      <c r="G244" s="268"/>
      <c r="H244" s="268"/>
    </row>
    <row r="245" spans="3:8" ht="19.5" thickBot="1">
      <c r="C245" s="34" t="s">
        <v>682</v>
      </c>
      <c r="D245" s="34" t="s">
        <v>683</v>
      </c>
      <c r="E245" s="34" t="s">
        <v>684</v>
      </c>
      <c r="F245" s="268" t="s">
        <v>494</v>
      </c>
      <c r="G245" s="268"/>
      <c r="H245" s="268"/>
    </row>
    <row r="246" spans="3:8" ht="19.5" thickBot="1">
      <c r="C246" s="34" t="s">
        <v>685</v>
      </c>
      <c r="D246" s="34" t="s">
        <v>686</v>
      </c>
      <c r="E246" s="34" t="s">
        <v>687</v>
      </c>
      <c r="F246" s="268" t="s">
        <v>494</v>
      </c>
      <c r="G246" s="268"/>
      <c r="H246" s="268"/>
    </row>
    <row r="247" spans="3:8" ht="19.5" thickBot="1">
      <c r="C247" s="34" t="s">
        <v>688</v>
      </c>
      <c r="D247" s="34" t="s">
        <v>689</v>
      </c>
      <c r="E247" s="34" t="s">
        <v>690</v>
      </c>
      <c r="F247" s="268" t="s">
        <v>494</v>
      </c>
      <c r="G247" s="268"/>
      <c r="H247" s="268"/>
    </row>
    <row r="248" spans="3:8" ht="19.5" thickBot="1">
      <c r="C248" s="34" t="s">
        <v>691</v>
      </c>
      <c r="D248" s="34" t="s">
        <v>692</v>
      </c>
      <c r="E248" s="34" t="s">
        <v>693</v>
      </c>
      <c r="F248" s="268" t="s">
        <v>494</v>
      </c>
      <c r="G248" s="268"/>
      <c r="H248" s="268"/>
    </row>
    <row r="249" spans="3:8" ht="19.5" thickBot="1">
      <c r="C249" s="34" t="s">
        <v>694</v>
      </c>
      <c r="D249" s="34" t="s">
        <v>695</v>
      </c>
      <c r="E249" s="34" t="s">
        <v>675</v>
      </c>
      <c r="F249" s="268" t="s">
        <v>494</v>
      </c>
      <c r="G249" s="268"/>
      <c r="H249" s="268"/>
    </row>
    <row r="250" spans="3:8" ht="19.5" thickBot="1">
      <c r="C250" s="34" t="s">
        <v>696</v>
      </c>
      <c r="D250" s="34" t="s">
        <v>697</v>
      </c>
      <c r="E250" s="34" t="s">
        <v>698</v>
      </c>
      <c r="F250" s="268" t="s">
        <v>494</v>
      </c>
      <c r="G250" s="268"/>
      <c r="H250" s="268"/>
    </row>
    <row r="251" spans="3:8" ht="19.5" thickBot="1">
      <c r="C251" s="34"/>
      <c r="D251" s="34" t="s">
        <v>699</v>
      </c>
      <c r="E251" s="34" t="s">
        <v>700</v>
      </c>
      <c r="F251" s="268" t="s">
        <v>494</v>
      </c>
      <c r="G251" s="268"/>
      <c r="H251" s="268"/>
    </row>
    <row r="252" spans="3:8" ht="19.5" thickBot="1">
      <c r="C252" s="34"/>
      <c r="D252" s="34" t="s">
        <v>701</v>
      </c>
      <c r="E252" s="34" t="s">
        <v>702</v>
      </c>
      <c r="F252" s="268" t="s">
        <v>494</v>
      </c>
      <c r="G252" s="268"/>
      <c r="H252" s="268"/>
    </row>
    <row r="253" spans="3:8" ht="19.5" thickBot="1">
      <c r="C253" s="34"/>
      <c r="D253" s="34" t="s">
        <v>703</v>
      </c>
      <c r="E253" s="34" t="s">
        <v>704</v>
      </c>
      <c r="F253" s="268" t="s">
        <v>494</v>
      </c>
      <c r="G253" s="268"/>
      <c r="H253" s="268"/>
    </row>
    <row r="254" spans="3:8" ht="16.5" thickBot="1">
      <c r="C254" s="288" t="s">
        <v>705</v>
      </c>
      <c r="D254" s="288"/>
      <c r="E254" s="288"/>
      <c r="F254" s="288"/>
      <c r="G254" s="288"/>
      <c r="H254" s="288"/>
    </row>
    <row r="255" spans="3:8" ht="19.5" thickBot="1">
      <c r="C255" s="34" t="s">
        <v>706</v>
      </c>
      <c r="D255" s="34" t="s">
        <v>707</v>
      </c>
      <c r="E255" s="34">
        <v>10300</v>
      </c>
      <c r="F255" s="268" t="s">
        <v>494</v>
      </c>
      <c r="G255" s="268"/>
      <c r="H255" s="268"/>
    </row>
    <row r="256" spans="3:8" ht="16.5" thickBot="1">
      <c r="C256" s="288" t="s">
        <v>708</v>
      </c>
      <c r="D256" s="288"/>
      <c r="E256" s="288"/>
      <c r="F256" s="288"/>
      <c r="G256" s="288"/>
      <c r="H256" s="288"/>
    </row>
    <row r="257" spans="3:8" ht="19.5" thickBot="1">
      <c r="C257" s="34" t="s">
        <v>709</v>
      </c>
      <c r="D257" s="34" t="s">
        <v>710</v>
      </c>
      <c r="E257" s="34" t="s">
        <v>711</v>
      </c>
      <c r="F257" s="268" t="s">
        <v>494</v>
      </c>
      <c r="G257" s="268"/>
      <c r="H257" s="268"/>
    </row>
    <row r="258" spans="3:8" ht="19.5" thickBot="1">
      <c r="C258" s="34" t="s">
        <v>712</v>
      </c>
      <c r="D258" s="34" t="s">
        <v>713</v>
      </c>
      <c r="E258" s="34" t="s">
        <v>714</v>
      </c>
      <c r="F258" s="268" t="s">
        <v>494</v>
      </c>
      <c r="G258" s="268"/>
      <c r="H258" s="268"/>
    </row>
    <row r="259" spans="3:8" ht="19.5" thickBot="1">
      <c r="C259" s="34" t="s">
        <v>715</v>
      </c>
      <c r="D259" s="34" t="s">
        <v>716</v>
      </c>
      <c r="E259" s="34">
        <v>8.6999999999999993</v>
      </c>
      <c r="F259" s="268" t="s">
        <v>494</v>
      </c>
      <c r="G259" s="268"/>
      <c r="H259" s="268"/>
    </row>
    <row r="260" spans="3:8" ht="19.5" thickBot="1">
      <c r="C260" s="34" t="s">
        <v>717</v>
      </c>
      <c r="D260" s="34" t="s">
        <v>718</v>
      </c>
      <c r="E260" s="34" t="s">
        <v>719</v>
      </c>
      <c r="F260" s="268" t="s">
        <v>494</v>
      </c>
      <c r="G260" s="268"/>
      <c r="H260" s="268"/>
    </row>
    <row r="261" spans="3:8" ht="19.5" thickBot="1">
      <c r="C261" s="34" t="s">
        <v>720</v>
      </c>
      <c r="D261" s="34" t="s">
        <v>721</v>
      </c>
      <c r="E261" s="34">
        <v>1.54</v>
      </c>
      <c r="F261" s="268" t="s">
        <v>494</v>
      </c>
      <c r="G261" s="268"/>
      <c r="H261" s="268"/>
    </row>
    <row r="262" spans="3:8" ht="19.5" thickBot="1">
      <c r="C262" s="34" t="s">
        <v>722</v>
      </c>
      <c r="D262" s="34" t="s">
        <v>723</v>
      </c>
      <c r="E262" s="34" t="s">
        <v>724</v>
      </c>
      <c r="F262" s="268" t="s">
        <v>494</v>
      </c>
      <c r="G262" s="268"/>
      <c r="H262" s="268"/>
    </row>
    <row r="263" spans="3:8" ht="19.5" thickBot="1">
      <c r="C263" s="34" t="s">
        <v>725</v>
      </c>
      <c r="D263" s="34" t="s">
        <v>726</v>
      </c>
      <c r="E263" s="34">
        <v>0.4</v>
      </c>
      <c r="F263" s="268" t="s">
        <v>494</v>
      </c>
      <c r="G263" s="268"/>
      <c r="H263" s="268"/>
    </row>
    <row r="264" spans="3:8" ht="16.5" thickBot="1">
      <c r="C264" s="128" t="s">
        <v>727</v>
      </c>
      <c r="D264" s="127" t="s">
        <v>728</v>
      </c>
      <c r="E264" s="133">
        <v>3.3</v>
      </c>
      <c r="F264" s="283" t="s">
        <v>494</v>
      </c>
      <c r="G264" s="283"/>
      <c r="H264" s="283"/>
    </row>
    <row r="265" spans="3:8" ht="16.5" thickBot="1">
      <c r="C265" s="128" t="s">
        <v>729</v>
      </c>
      <c r="D265" s="127" t="s">
        <v>730</v>
      </c>
      <c r="E265" s="133">
        <v>1E-3</v>
      </c>
      <c r="F265" s="283" t="s">
        <v>494</v>
      </c>
      <c r="G265" s="283"/>
      <c r="H265" s="283"/>
    </row>
    <row r="266" spans="3:8" ht="16.5" thickBot="1">
      <c r="C266" s="37" t="s">
        <v>731</v>
      </c>
      <c r="D266" s="34" t="s">
        <v>732</v>
      </c>
      <c r="E266" s="38">
        <v>4</v>
      </c>
      <c r="F266" s="268" t="s">
        <v>494</v>
      </c>
      <c r="G266" s="268"/>
      <c r="H266" s="268"/>
    </row>
    <row r="267" spans="3:8" ht="16.5" thickBot="1">
      <c r="C267" s="37" t="s">
        <v>733</v>
      </c>
      <c r="D267" s="34" t="s">
        <v>732</v>
      </c>
      <c r="E267" s="38">
        <v>6</v>
      </c>
      <c r="F267" s="268" t="s">
        <v>494</v>
      </c>
      <c r="G267" s="268"/>
      <c r="H267" s="268"/>
    </row>
    <row r="268" spans="3:8" ht="16.5" thickBot="1">
      <c r="C268" s="288" t="s">
        <v>734</v>
      </c>
      <c r="D268" s="288"/>
      <c r="E268" s="288"/>
      <c r="F268" s="288"/>
      <c r="G268" s="288"/>
      <c r="H268" s="288"/>
    </row>
    <row r="269" spans="3:8" ht="16.5" thickBot="1">
      <c r="C269" s="128" t="s">
        <v>735</v>
      </c>
      <c r="D269" s="127" t="s">
        <v>736</v>
      </c>
      <c r="E269" s="130">
        <v>3260</v>
      </c>
      <c r="F269" s="283" t="s">
        <v>485</v>
      </c>
      <c r="G269" s="283"/>
      <c r="H269" s="283"/>
    </row>
    <row r="270" spans="3:8" ht="16.5" thickBot="1">
      <c r="C270" s="128" t="s">
        <v>737</v>
      </c>
      <c r="D270" s="127" t="s">
        <v>738</v>
      </c>
      <c r="E270" s="130">
        <v>1770</v>
      </c>
      <c r="F270" s="283" t="s">
        <v>485</v>
      </c>
      <c r="G270" s="283"/>
      <c r="H270" s="283"/>
    </row>
    <row r="271" spans="3:8" ht="16.5" thickBot="1">
      <c r="C271" s="128" t="s">
        <v>739</v>
      </c>
      <c r="D271" s="127" t="s">
        <v>740</v>
      </c>
      <c r="E271" s="130">
        <v>1526</v>
      </c>
      <c r="F271" s="283" t="s">
        <v>485</v>
      </c>
      <c r="G271" s="283"/>
      <c r="H271" s="283"/>
    </row>
    <row r="272" spans="3:8" ht="16.5" thickBot="1">
      <c r="C272" s="36" t="s">
        <v>741</v>
      </c>
      <c r="D272" s="39" t="s">
        <v>738</v>
      </c>
      <c r="E272" s="40">
        <v>1555</v>
      </c>
      <c r="F272" s="289" t="s">
        <v>485</v>
      </c>
      <c r="G272" s="289"/>
      <c r="H272" s="289"/>
    </row>
    <row r="273" spans="3:8" ht="16.5" thickBot="1">
      <c r="C273" s="36" t="s">
        <v>742</v>
      </c>
      <c r="D273" s="39" t="s">
        <v>743</v>
      </c>
      <c r="E273" s="40">
        <v>2795</v>
      </c>
      <c r="F273" s="289" t="s">
        <v>485</v>
      </c>
      <c r="G273" s="289"/>
      <c r="H273" s="289"/>
    </row>
    <row r="274" spans="3:8" ht="16.5" thickBot="1">
      <c r="C274" s="128" t="s">
        <v>744</v>
      </c>
      <c r="D274" s="129" t="s">
        <v>745</v>
      </c>
      <c r="E274" s="130">
        <v>1724.9999999999998</v>
      </c>
      <c r="F274" s="287" t="s">
        <v>485</v>
      </c>
      <c r="G274" s="287"/>
      <c r="H274" s="287"/>
    </row>
    <row r="275" spans="3:8" ht="16.5" thickBot="1">
      <c r="C275" s="128" t="s">
        <v>746</v>
      </c>
      <c r="D275" s="129" t="s">
        <v>747</v>
      </c>
      <c r="E275" s="130">
        <v>3300.0000000000005</v>
      </c>
      <c r="F275" s="287" t="s">
        <v>485</v>
      </c>
      <c r="G275" s="287"/>
      <c r="H275" s="287"/>
    </row>
    <row r="276" spans="3:8" ht="16.5" thickBot="1">
      <c r="C276" s="36" t="s">
        <v>748</v>
      </c>
      <c r="D276" s="39" t="s">
        <v>749</v>
      </c>
      <c r="E276" s="40">
        <v>10350</v>
      </c>
      <c r="F276" s="289" t="s">
        <v>485</v>
      </c>
      <c r="G276" s="289"/>
      <c r="H276" s="289"/>
    </row>
    <row r="277" spans="3:8" ht="16.5" thickBot="1">
      <c r="C277" s="288" t="s">
        <v>750</v>
      </c>
      <c r="D277" s="288"/>
      <c r="E277" s="288"/>
      <c r="F277" s="288"/>
      <c r="G277" s="288"/>
      <c r="H277" s="288"/>
    </row>
    <row r="278" spans="3:8" ht="16.5" thickBot="1">
      <c r="C278" s="37" t="s">
        <v>751</v>
      </c>
      <c r="D278" s="37" t="s">
        <v>752</v>
      </c>
      <c r="E278" s="38">
        <v>1943</v>
      </c>
      <c r="F278" s="268" t="s">
        <v>494</v>
      </c>
      <c r="G278" s="268"/>
      <c r="H278" s="268"/>
    </row>
    <row r="279" spans="3:8" ht="16.5" thickBot="1">
      <c r="C279" s="37" t="s">
        <v>753</v>
      </c>
      <c r="D279" s="37" t="s">
        <v>754</v>
      </c>
      <c r="E279" s="38">
        <v>1585</v>
      </c>
      <c r="F279" s="268" t="s">
        <v>494</v>
      </c>
      <c r="G279" s="268"/>
      <c r="H279" s="268"/>
    </row>
    <row r="280" spans="3:8" ht="16.5" thickBot="1">
      <c r="C280" s="128" t="s">
        <v>755</v>
      </c>
      <c r="D280" s="129" t="s">
        <v>756</v>
      </c>
      <c r="E280" s="130">
        <v>4657</v>
      </c>
      <c r="F280" s="287" t="s">
        <v>494</v>
      </c>
      <c r="G280" s="287"/>
      <c r="H280" s="287"/>
    </row>
    <row r="281" spans="3:8" ht="16.5" thickBot="1">
      <c r="C281" s="128" t="s">
        <v>757</v>
      </c>
      <c r="D281" s="129" t="s">
        <v>758</v>
      </c>
      <c r="E281" s="170">
        <v>5.5</v>
      </c>
      <c r="F281" s="291" t="s">
        <v>759</v>
      </c>
      <c r="G281" s="291"/>
      <c r="H281" s="291"/>
    </row>
    <row r="283" spans="3:8">
      <c r="C283" s="25" t="s">
        <v>760</v>
      </c>
    </row>
    <row r="284" spans="3:8">
      <c r="C284" s="290" t="s">
        <v>761</v>
      </c>
      <c r="D284" s="290"/>
      <c r="E284" s="290"/>
      <c r="F284" s="290"/>
      <c r="G284" s="290"/>
      <c r="H284" s="290"/>
    </row>
    <row r="285" spans="3:8">
      <c r="C285" s="290"/>
      <c r="D285" s="290"/>
      <c r="E285" s="290"/>
      <c r="F285" s="290"/>
      <c r="G285" s="290"/>
      <c r="H285" s="290"/>
    </row>
    <row r="286" spans="3:8">
      <c r="C286" s="290"/>
      <c r="D286" s="290"/>
      <c r="E286" s="290"/>
      <c r="F286" s="290"/>
      <c r="G286" s="290"/>
      <c r="H286" s="290"/>
    </row>
    <row r="287" spans="3:8">
      <c r="C287" s="290"/>
      <c r="D287" s="290"/>
      <c r="E287" s="290"/>
      <c r="F287" s="290"/>
      <c r="G287" s="290"/>
      <c r="H287" s="290"/>
    </row>
  </sheetData>
  <mergeCells count="166">
    <mergeCell ref="B8:B17"/>
    <mergeCell ref="F160:H160"/>
    <mergeCell ref="B61:B64"/>
    <mergeCell ref="C66:G66"/>
    <mergeCell ref="C83:G83"/>
    <mergeCell ref="C145:H145"/>
    <mergeCell ref="C146:C147"/>
    <mergeCell ref="E146:E147"/>
    <mergeCell ref="F146:H146"/>
    <mergeCell ref="C156:H156"/>
    <mergeCell ref="C159:H159"/>
    <mergeCell ref="B18:B60"/>
    <mergeCell ref="B65:B126"/>
    <mergeCell ref="C108:G108"/>
    <mergeCell ref="H108:H123"/>
    <mergeCell ref="B127:B129"/>
    <mergeCell ref="B130:B131"/>
    <mergeCell ref="C130:G130"/>
    <mergeCell ref="H130:H131"/>
    <mergeCell ref="C135:G135"/>
    <mergeCell ref="B135:B138"/>
    <mergeCell ref="B139:B140"/>
    <mergeCell ref="B141:B142"/>
    <mergeCell ref="B132:B134"/>
    <mergeCell ref="F276:H276"/>
    <mergeCell ref="C277:H277"/>
    <mergeCell ref="F278:H278"/>
    <mergeCell ref="F279:H279"/>
    <mergeCell ref="F280:H280"/>
    <mergeCell ref="C284:H287"/>
    <mergeCell ref="F270:H270"/>
    <mergeCell ref="F271:H271"/>
    <mergeCell ref="F272:H272"/>
    <mergeCell ref="F273:H273"/>
    <mergeCell ref="F274:H274"/>
    <mergeCell ref="F275:H275"/>
    <mergeCell ref="F281:H281"/>
    <mergeCell ref="F264:H264"/>
    <mergeCell ref="F265:H265"/>
    <mergeCell ref="F266:H266"/>
    <mergeCell ref="F267:H267"/>
    <mergeCell ref="C268:H268"/>
    <mergeCell ref="F269:H269"/>
    <mergeCell ref="F258:H258"/>
    <mergeCell ref="F259:H259"/>
    <mergeCell ref="F260:H260"/>
    <mergeCell ref="F261:H261"/>
    <mergeCell ref="F262:H262"/>
    <mergeCell ref="F263:H263"/>
    <mergeCell ref="F252:H252"/>
    <mergeCell ref="F253:H253"/>
    <mergeCell ref="C254:H254"/>
    <mergeCell ref="F255:H255"/>
    <mergeCell ref="C256:H256"/>
    <mergeCell ref="F257:H257"/>
    <mergeCell ref="F246:H246"/>
    <mergeCell ref="F247:H247"/>
    <mergeCell ref="F248:H248"/>
    <mergeCell ref="F249:H249"/>
    <mergeCell ref="F250:H250"/>
    <mergeCell ref="F251:H251"/>
    <mergeCell ref="F240:H240"/>
    <mergeCell ref="F241:H241"/>
    <mergeCell ref="F242:H242"/>
    <mergeCell ref="F243:H243"/>
    <mergeCell ref="F244:H244"/>
    <mergeCell ref="F245:H245"/>
    <mergeCell ref="F234:H234"/>
    <mergeCell ref="F235:H235"/>
    <mergeCell ref="F236:H236"/>
    <mergeCell ref="F237:H237"/>
    <mergeCell ref="F238:H238"/>
    <mergeCell ref="F239:H239"/>
    <mergeCell ref="F228:H228"/>
    <mergeCell ref="F229:H229"/>
    <mergeCell ref="F230:H230"/>
    <mergeCell ref="F231:H231"/>
    <mergeCell ref="F232:H232"/>
    <mergeCell ref="F233:H233"/>
    <mergeCell ref="F222:H222"/>
    <mergeCell ref="F223:H223"/>
    <mergeCell ref="F224:H224"/>
    <mergeCell ref="F225:H225"/>
    <mergeCell ref="F226:H226"/>
    <mergeCell ref="F227:H227"/>
    <mergeCell ref="F216:H216"/>
    <mergeCell ref="F217:H217"/>
    <mergeCell ref="F218:H218"/>
    <mergeCell ref="C219:H219"/>
    <mergeCell ref="F220:H220"/>
    <mergeCell ref="F221:H221"/>
    <mergeCell ref="F210:H210"/>
    <mergeCell ref="F211:H211"/>
    <mergeCell ref="F212:H212"/>
    <mergeCell ref="F213:H213"/>
    <mergeCell ref="F214:H214"/>
    <mergeCell ref="F215:H215"/>
    <mergeCell ref="F204:H204"/>
    <mergeCell ref="F205:H205"/>
    <mergeCell ref="C206:H206"/>
    <mergeCell ref="F207:H207"/>
    <mergeCell ref="F208:H208"/>
    <mergeCell ref="F209:H209"/>
    <mergeCell ref="F198:H198"/>
    <mergeCell ref="F199:H199"/>
    <mergeCell ref="F200:H200"/>
    <mergeCell ref="F201:H201"/>
    <mergeCell ref="F202:H202"/>
    <mergeCell ref="F203:H203"/>
    <mergeCell ref="F192:H192"/>
    <mergeCell ref="F193:H193"/>
    <mergeCell ref="F194:H194"/>
    <mergeCell ref="F195:H195"/>
    <mergeCell ref="F196:H196"/>
    <mergeCell ref="F197:H197"/>
    <mergeCell ref="C186:H186"/>
    <mergeCell ref="F187:H187"/>
    <mergeCell ref="F188:H188"/>
    <mergeCell ref="F189:H189"/>
    <mergeCell ref="F190:H190"/>
    <mergeCell ref="F191:H191"/>
    <mergeCell ref="F181:H181"/>
    <mergeCell ref="F182:H182"/>
    <mergeCell ref="F183:H183"/>
    <mergeCell ref="F184:H184"/>
    <mergeCell ref="F185:H185"/>
    <mergeCell ref="F173:H173"/>
    <mergeCell ref="F174:H174"/>
    <mergeCell ref="F175:H175"/>
    <mergeCell ref="F176:H176"/>
    <mergeCell ref="F177:H177"/>
    <mergeCell ref="F178:H178"/>
    <mergeCell ref="F180:H180"/>
    <mergeCell ref="F171:H171"/>
    <mergeCell ref="F172:H172"/>
    <mergeCell ref="F161:H161"/>
    <mergeCell ref="F162:H162"/>
    <mergeCell ref="F163:H163"/>
    <mergeCell ref="C164:H164"/>
    <mergeCell ref="F165:H165"/>
    <mergeCell ref="F166:H166"/>
    <mergeCell ref="F179:H179"/>
    <mergeCell ref="C5:H5"/>
    <mergeCell ref="C6:C7"/>
    <mergeCell ref="D6:D7"/>
    <mergeCell ref="E6:G6"/>
    <mergeCell ref="H6:H7"/>
    <mergeCell ref="F167:H167"/>
    <mergeCell ref="F168:H168"/>
    <mergeCell ref="F169:H169"/>
    <mergeCell ref="F170:H170"/>
    <mergeCell ref="C89:G89"/>
    <mergeCell ref="C95:G95"/>
    <mergeCell ref="C124:G124"/>
    <mergeCell ref="H124:H126"/>
    <mergeCell ref="H8:H107"/>
    <mergeCell ref="C127:G127"/>
    <mergeCell ref="H127:H129"/>
    <mergeCell ref="H135:H138"/>
    <mergeCell ref="C139:G139"/>
    <mergeCell ref="H139:H140"/>
    <mergeCell ref="C141:G141"/>
    <mergeCell ref="H141:H142"/>
    <mergeCell ref="C132:G132"/>
    <mergeCell ref="H132:H134"/>
    <mergeCell ref="C133:C134"/>
  </mergeCells>
  <phoneticPr fontId="22" type="noConversion"/>
  <hyperlinks>
    <hyperlink ref="C1" location="'Información general'!A1" display="Inicio" xr:uid="{00000000-0004-0000-0300-000000000000}"/>
    <hyperlink ref="F180:H180" r:id="rId1" display="Opteon R514a" xr:uid="{80F13CD9-2F8D-4CEA-8A91-E06A616CA19D}"/>
    <hyperlink ref="F281:H281" r:id="rId2" location=":~:text=The%20100%2Dyear%20indirect%20global,warming%20impact%20than%20natural%20gas." display="R170/Ethane" xr:uid="{01BDE0E6-D915-4806-834E-9B32BC8F129E}"/>
  </hyperlinks>
  <pageMargins left="0.7" right="0.7" top="0.75" bottom="0.75" header="0.3" footer="0.3"/>
  <pageSetup orientation="portrait" r:id="rId3"/>
  <legacy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7" tint="0.59999389629810485"/>
  </sheetPr>
  <dimension ref="A1:V151"/>
  <sheetViews>
    <sheetView showGridLines="0" zoomScale="50" zoomScaleNormal="50" workbookViewId="0">
      <selection activeCell="Q117" sqref="Q117"/>
    </sheetView>
  </sheetViews>
  <sheetFormatPr defaultColWidth="11.42578125" defaultRowHeight="15.75"/>
  <cols>
    <col min="1" max="2" width="11.42578125" style="55"/>
    <col min="3" max="3" width="46.85546875" style="55" customWidth="1"/>
    <col min="4" max="4" width="45.28515625" style="55" customWidth="1"/>
    <col min="5" max="5" width="56.85546875" style="55" customWidth="1"/>
    <col min="6" max="6" width="11.42578125" style="55"/>
    <col min="7" max="7" width="19.7109375" style="55" customWidth="1"/>
    <col min="8" max="8" width="14.85546875" style="55" customWidth="1"/>
    <col min="9" max="9" width="26.7109375" style="55" bestFit="1" customWidth="1"/>
    <col min="10" max="10" width="17" style="55" customWidth="1"/>
    <col min="11" max="11" width="11.42578125" style="55"/>
    <col min="12" max="12" width="20.5703125" style="55" customWidth="1"/>
    <col min="13" max="13" width="11.42578125" style="55" customWidth="1"/>
    <col min="14" max="14" width="11.42578125" style="55"/>
    <col min="15" max="15" width="12.42578125" style="55" customWidth="1"/>
    <col min="16" max="16" width="11.42578125" style="55"/>
    <col min="17" max="17" width="27" style="55" customWidth="1"/>
    <col min="18" max="18" width="15.28515625" style="55" customWidth="1"/>
    <col min="19" max="19" width="15.42578125" style="55" customWidth="1"/>
    <col min="20" max="20" width="46" style="55" customWidth="1"/>
    <col min="21" max="21" width="40.28515625" style="55" customWidth="1"/>
    <col min="22" max="22" width="45.140625" style="55" customWidth="1"/>
    <col min="23" max="23" width="57.85546875" style="55" customWidth="1"/>
    <col min="24" max="16384" width="11.42578125" style="55"/>
  </cols>
  <sheetData>
    <row r="1" spans="1:22" ht="18.75">
      <c r="C1" s="66" t="s">
        <v>21</v>
      </c>
    </row>
    <row r="3" spans="1:22" ht="19.5" thickBot="1">
      <c r="B3" s="62" t="s">
        <v>762</v>
      </c>
      <c r="C3" s="6"/>
      <c r="D3" s="6"/>
      <c r="E3" s="6"/>
      <c r="F3" s="6"/>
      <c r="G3" s="6"/>
      <c r="H3" s="6"/>
      <c r="I3" s="6"/>
      <c r="J3" s="6"/>
      <c r="K3" s="6"/>
      <c r="L3" s="6"/>
      <c r="M3" s="6"/>
      <c r="N3" s="6"/>
      <c r="O3" s="6"/>
      <c r="P3" s="6"/>
      <c r="Q3" s="6"/>
      <c r="R3" s="6"/>
      <c r="S3" s="6"/>
      <c r="T3" s="6"/>
      <c r="U3" s="6"/>
      <c r="V3" s="6"/>
    </row>
    <row r="5" spans="1:22">
      <c r="B5" s="341" t="s">
        <v>763</v>
      </c>
      <c r="C5" s="341"/>
    </row>
    <row r="6" spans="1:22" ht="16.5" thickBot="1"/>
    <row r="7" spans="1:22" ht="16.5" thickBot="1">
      <c r="B7" s="266" t="s">
        <v>764</v>
      </c>
      <c r="C7" s="266"/>
      <c r="D7" s="266"/>
      <c r="E7" s="266"/>
      <c r="F7" s="340" t="s">
        <v>765</v>
      </c>
      <c r="G7" s="266" t="s">
        <v>766</v>
      </c>
      <c r="H7" s="266"/>
      <c r="I7" s="308" t="s">
        <v>767</v>
      </c>
      <c r="J7" s="309"/>
      <c r="K7" s="309"/>
      <c r="L7" s="309"/>
      <c r="M7" s="310"/>
      <c r="N7" s="308" t="s">
        <v>768</v>
      </c>
      <c r="O7" s="309"/>
      <c r="P7" s="309"/>
      <c r="Q7" s="309"/>
      <c r="R7" s="310"/>
      <c r="S7" s="340" t="s">
        <v>769</v>
      </c>
      <c r="T7" s="340" t="s">
        <v>770</v>
      </c>
      <c r="U7" s="266" t="s">
        <v>771</v>
      </c>
      <c r="V7" s="266" t="s">
        <v>772</v>
      </c>
    </row>
    <row r="8" spans="1:22" ht="16.5" thickBot="1">
      <c r="B8" s="51" t="s">
        <v>773</v>
      </c>
      <c r="C8" s="51" t="s">
        <v>774</v>
      </c>
      <c r="D8" s="51" t="s">
        <v>775</v>
      </c>
      <c r="E8" s="51" t="s">
        <v>24</v>
      </c>
      <c r="F8" s="340"/>
      <c r="G8" s="51" t="s">
        <v>776</v>
      </c>
      <c r="H8" s="51" t="s">
        <v>256</v>
      </c>
      <c r="I8" s="51" t="s">
        <v>777</v>
      </c>
      <c r="J8" s="51" t="s">
        <v>259</v>
      </c>
      <c r="K8" s="51" t="s">
        <v>778</v>
      </c>
      <c r="L8" s="51" t="s">
        <v>261</v>
      </c>
      <c r="M8" s="51" t="s">
        <v>779</v>
      </c>
      <c r="N8" s="51" t="s">
        <v>259</v>
      </c>
      <c r="O8" s="51" t="s">
        <v>778</v>
      </c>
      <c r="P8" s="51" t="s">
        <v>261</v>
      </c>
      <c r="Q8" s="51" t="s">
        <v>780</v>
      </c>
      <c r="R8" s="51" t="s">
        <v>779</v>
      </c>
      <c r="S8" s="340"/>
      <c r="T8" s="340"/>
      <c r="U8" s="266"/>
      <c r="V8" s="266"/>
    </row>
    <row r="9" spans="1:22" ht="126.75" hidden="1" thickBot="1">
      <c r="A9" s="56" t="s">
        <v>174</v>
      </c>
      <c r="B9" s="58">
        <v>1</v>
      </c>
      <c r="C9" s="53" t="s">
        <v>781</v>
      </c>
      <c r="D9" s="52" t="s">
        <v>782</v>
      </c>
      <c r="E9" s="53" t="s">
        <v>783</v>
      </c>
      <c r="F9" s="52"/>
      <c r="G9" s="52">
        <v>120000</v>
      </c>
      <c r="H9" s="52" t="s">
        <v>784</v>
      </c>
      <c r="I9" s="52" t="s">
        <v>785</v>
      </c>
      <c r="J9" s="52">
        <f>'1.3. Factores de emisión'!E50</f>
        <v>3.4599999999999995E-4</v>
      </c>
      <c r="K9" s="52">
        <f>'1.3. Factores de emisión'!F34</f>
        <v>1.611</v>
      </c>
      <c r="L9" s="52">
        <f>'1.3. Factores de emisión'!G50</f>
        <v>2.211E-5</v>
      </c>
      <c r="M9" s="52"/>
      <c r="N9" s="52">
        <f>G9*J9*21</f>
        <v>871.92</v>
      </c>
      <c r="O9" s="52">
        <f>G9*K9*1</f>
        <v>193320</v>
      </c>
      <c r="P9" s="52">
        <f>G9*L9*310</f>
        <v>822.49199999999996</v>
      </c>
      <c r="Q9" s="52">
        <f>(N9+O9+P9)/1000</f>
        <v>195.01441200000002</v>
      </c>
      <c r="R9" s="52"/>
      <c r="S9" s="52" t="s">
        <v>786</v>
      </c>
      <c r="T9" s="53" t="s">
        <v>787</v>
      </c>
      <c r="U9" s="53" t="s">
        <v>788</v>
      </c>
      <c r="V9" s="53" t="s">
        <v>789</v>
      </c>
    </row>
    <row r="10" spans="1:22" ht="79.5" thickBot="1">
      <c r="B10" s="58">
        <v>1</v>
      </c>
      <c r="C10" s="57" t="s">
        <v>781</v>
      </c>
      <c r="D10" s="57" t="s">
        <v>790</v>
      </c>
      <c r="E10" s="57" t="s">
        <v>791</v>
      </c>
      <c r="F10" s="5"/>
      <c r="G10" s="81">
        <f>'4.1. ANEXOS Energía'!D20</f>
        <v>88242.781698966748</v>
      </c>
      <c r="H10" s="5" t="s">
        <v>792</v>
      </c>
      <c r="I10" s="57" t="s">
        <v>785</v>
      </c>
      <c r="J10" s="5">
        <f>'1.3. Factores de emisión'!E50</f>
        <v>3.4599999999999995E-4</v>
      </c>
      <c r="K10" s="5">
        <f>'1.3. Factores de emisión'!F30</f>
        <v>2.2309999999999999</v>
      </c>
      <c r="L10" s="5">
        <f>'1.3. Factores de emisión'!G50</f>
        <v>2.211E-5</v>
      </c>
      <c r="M10" s="5"/>
      <c r="N10" s="121">
        <f>(J10*G10*'1.3. Factores de emisión'!$E$162)/1000</f>
        <v>0.64117205182469228</v>
      </c>
      <c r="O10" s="121">
        <f t="shared" ref="O10:O13" si="0">(G10*K10*1)/1000</f>
        <v>196.8696459703948</v>
      </c>
      <c r="P10" s="121">
        <f>(G10*L10*'1.3. Factores de emisión'!$E$163)/1000</f>
        <v>0.604824850042888</v>
      </c>
      <c r="Q10" s="81">
        <f t="shared" ref="Q10:Q13" si="1">SUM(N10:P10)</f>
        <v>198.11564287226238</v>
      </c>
      <c r="R10" s="5"/>
      <c r="S10" s="84" t="s">
        <v>793</v>
      </c>
      <c r="T10" s="84" t="s">
        <v>794</v>
      </c>
      <c r="U10" s="84" t="s">
        <v>795</v>
      </c>
      <c r="V10" s="84" t="s">
        <v>796</v>
      </c>
    </row>
    <row r="11" spans="1:22" ht="79.5" thickBot="1">
      <c r="B11" s="58">
        <v>1</v>
      </c>
      <c r="C11" s="57" t="s">
        <v>781</v>
      </c>
      <c r="D11" s="57" t="s">
        <v>790</v>
      </c>
      <c r="E11" s="57" t="s">
        <v>797</v>
      </c>
      <c r="F11" s="5"/>
      <c r="G11" s="81">
        <f>'4.1. ANEXOS Energía'!C20</f>
        <v>106332.11329882954</v>
      </c>
      <c r="H11" s="5" t="s">
        <v>792</v>
      </c>
      <c r="I11" s="57" t="s">
        <v>785</v>
      </c>
      <c r="J11" s="5">
        <f>'1.3. Factores de emisión'!E51</f>
        <v>3.8200000000000002E-4</v>
      </c>
      <c r="K11" s="5">
        <f>'1.3. Factores de emisión'!F31</f>
        <v>2.613</v>
      </c>
      <c r="L11" s="5">
        <f>'1.3. Factores de emisión'!G51</f>
        <v>2.442E-5</v>
      </c>
      <c r="M11" s="5"/>
      <c r="N11" s="121">
        <f>(J11*G11*'1.3. Factores de emisión'!$E$162)/1000</f>
        <v>0.85299621288321059</v>
      </c>
      <c r="O11" s="121">
        <f t="shared" si="0"/>
        <v>277.84581204984158</v>
      </c>
      <c r="P11" s="121">
        <f>(G11*L11*'1.3. Factores de emisión'!$E$163)/1000</f>
        <v>0.80495536409479951</v>
      </c>
      <c r="Q11" s="81">
        <f t="shared" si="1"/>
        <v>279.50376362681959</v>
      </c>
      <c r="R11" s="5"/>
      <c r="S11" s="84" t="s">
        <v>793</v>
      </c>
      <c r="T11" s="84" t="s">
        <v>798</v>
      </c>
      <c r="U11" s="84" t="s">
        <v>795</v>
      </c>
      <c r="V11" s="84" t="s">
        <v>796</v>
      </c>
    </row>
    <row r="12" spans="1:22" ht="79.5" thickBot="1">
      <c r="B12" s="58">
        <v>1</v>
      </c>
      <c r="C12" s="57" t="s">
        <v>781</v>
      </c>
      <c r="D12" s="57" t="s">
        <v>790</v>
      </c>
      <c r="E12" s="57" t="s">
        <v>799</v>
      </c>
      <c r="F12" s="5"/>
      <c r="G12" s="81">
        <f>'4.1. ANEXOS Energía'!F20</f>
        <v>332486.01367721061</v>
      </c>
      <c r="H12" s="5" t="s">
        <v>792</v>
      </c>
      <c r="I12" s="57" t="s">
        <v>785</v>
      </c>
      <c r="J12" s="5">
        <f>'1.3. Factores de emisión'!E53</f>
        <v>1.3900000000000002E-4</v>
      </c>
      <c r="K12" s="5">
        <f>'1.3. Factores de emisión'!F34</f>
        <v>1.611</v>
      </c>
      <c r="L12" s="5">
        <f>'1.3. Factores de emisión'!G53</f>
        <v>2.745E-6</v>
      </c>
      <c r="M12" s="5"/>
      <c r="N12" s="121">
        <f>(J12*G12*'1.3. Factores de emisión'!$E$162)/1000</f>
        <v>0.97052667392377778</v>
      </c>
      <c r="O12" s="121">
        <f t="shared" si="0"/>
        <v>535.6349680339863</v>
      </c>
      <c r="P12" s="121">
        <f>(G12*L12*'1.3. Factores de emisión'!$E$163)/1000</f>
        <v>0.28292897333862238</v>
      </c>
      <c r="Q12" s="81">
        <f t="shared" si="1"/>
        <v>536.8884236812487</v>
      </c>
      <c r="R12" s="83"/>
      <c r="S12" s="84" t="s">
        <v>793</v>
      </c>
      <c r="T12" s="84" t="s">
        <v>800</v>
      </c>
      <c r="U12" s="84" t="s">
        <v>795</v>
      </c>
      <c r="V12" s="84" t="s">
        <v>796</v>
      </c>
    </row>
    <row r="13" spans="1:22" ht="95.25" thickBot="1">
      <c r="B13" s="58">
        <v>1</v>
      </c>
      <c r="C13" s="57" t="s">
        <v>781</v>
      </c>
      <c r="D13" s="57" t="s">
        <v>790</v>
      </c>
      <c r="E13" s="57" t="s">
        <v>801</v>
      </c>
      <c r="F13" s="5"/>
      <c r="G13" s="81">
        <f>'4.1. ANEXOS Energía'!G20</f>
        <v>676.76865023960193</v>
      </c>
      <c r="H13" s="5" t="s">
        <v>792</v>
      </c>
      <c r="I13" s="57" t="s">
        <v>785</v>
      </c>
      <c r="J13" s="5">
        <f>'1.3. Factores de emisión'!E54</f>
        <v>3.48E-4</v>
      </c>
      <c r="K13" s="5">
        <f>'1.3. Factores de emisión'!F37</f>
        <v>2.5489999999999999</v>
      </c>
      <c r="L13" s="5">
        <f>'1.3. Factores de emisión'!G54</f>
        <v>2.1000000000000002E-5</v>
      </c>
      <c r="M13" s="5"/>
      <c r="N13" s="121">
        <f>(J13*G13*'1.3. Factores de emisión'!$E$162)/1000</f>
        <v>4.9458252959510111E-3</v>
      </c>
      <c r="O13" s="121">
        <f t="shared" si="0"/>
        <v>1.7250832894607451</v>
      </c>
      <c r="P13" s="121">
        <f>(G13*L13*'1.3. Factores de emisión'!$E$163)/1000</f>
        <v>4.4057639130598084E-3</v>
      </c>
      <c r="Q13" s="81">
        <f t="shared" si="1"/>
        <v>1.7344348786697561</v>
      </c>
      <c r="R13" s="83"/>
      <c r="S13" s="84" t="s">
        <v>793</v>
      </c>
      <c r="T13" s="84" t="s">
        <v>802</v>
      </c>
      <c r="U13" s="84" t="s">
        <v>795</v>
      </c>
      <c r="V13" s="84" t="s">
        <v>796</v>
      </c>
    </row>
    <row r="14" spans="1:22" ht="79.5" thickBot="1">
      <c r="B14" s="58">
        <v>1</v>
      </c>
      <c r="C14" s="57" t="s">
        <v>781</v>
      </c>
      <c r="D14" s="57" t="s">
        <v>790</v>
      </c>
      <c r="E14" s="57" t="s">
        <v>803</v>
      </c>
      <c r="F14" s="5"/>
      <c r="G14" s="81">
        <f>'4.1. ANEXOS Energía'!F25</f>
        <v>1.8766861433239437</v>
      </c>
      <c r="H14" s="5" t="s">
        <v>804</v>
      </c>
      <c r="I14" s="57" t="s">
        <v>805</v>
      </c>
      <c r="J14" s="5">
        <f>'1.3. Factores de emisión'!E128</f>
        <v>300</v>
      </c>
      <c r="K14" s="5">
        <v>0</v>
      </c>
      <c r="L14" s="5">
        <f>'1.3. Factores de emisión'!G128</f>
        <v>4</v>
      </c>
      <c r="M14" s="5">
        <f>'1.3. Factores de emisión'!F128</f>
        <v>112000</v>
      </c>
      <c r="N14" s="121">
        <f>(J14*G14*'1.3. Factores de emisión'!$E$162)/1000</f>
        <v>11.823122702940845</v>
      </c>
      <c r="O14" s="121">
        <f t="shared" ref="O14:O15" si="2">(G14*K14*1)/1000</f>
        <v>0</v>
      </c>
      <c r="P14" s="121">
        <f>(G14*L14*'1.3. Factores de emisión'!$E$163)/1000</f>
        <v>2.32709081772169</v>
      </c>
      <c r="Q14" s="83">
        <f t="shared" ref="Q14:Q15" si="3">SUM(N14:P14)</f>
        <v>14.150213520662534</v>
      </c>
      <c r="R14" s="83">
        <f>(G14*M14*1)/1000</f>
        <v>210.18884805228168</v>
      </c>
      <c r="S14" s="84" t="s">
        <v>793</v>
      </c>
      <c r="T14" s="84" t="s">
        <v>806</v>
      </c>
      <c r="U14" s="84" t="s">
        <v>795</v>
      </c>
      <c r="V14" s="84" t="s">
        <v>796</v>
      </c>
    </row>
    <row r="15" spans="1:22" ht="79.5" thickBot="1">
      <c r="B15" s="58">
        <v>1</v>
      </c>
      <c r="C15" s="57" t="s">
        <v>781</v>
      </c>
      <c r="D15" s="134" t="s">
        <v>807</v>
      </c>
      <c r="E15" s="57" t="s">
        <v>808</v>
      </c>
      <c r="F15" s="5"/>
      <c r="G15" s="81">
        <f>'4.1. ANEXOS Energía'!E30</f>
        <v>9.8756825650560014</v>
      </c>
      <c r="H15" s="5" t="s">
        <v>804</v>
      </c>
      <c r="I15" s="57" t="s">
        <v>805</v>
      </c>
      <c r="J15" s="5">
        <f>'1.3. Factores de emisión'!E129</f>
        <v>5</v>
      </c>
      <c r="K15" s="5">
        <v>0</v>
      </c>
      <c r="L15" s="5">
        <f>'1.3. Factores de emisión'!G129</f>
        <v>0.1</v>
      </c>
      <c r="M15" s="5">
        <f>'1.3. Factores de emisión'!F129</f>
        <v>54600</v>
      </c>
      <c r="N15" s="121">
        <f>(J15*G15*'1.3. Factores de emisión'!$E$162)/1000</f>
        <v>1.0369466693308802</v>
      </c>
      <c r="O15" s="121">
        <f t="shared" si="2"/>
        <v>0</v>
      </c>
      <c r="P15" s="121">
        <f>(G15*L15*'1.3. Factores de emisión'!$E$163)/1000</f>
        <v>0.30614615951673607</v>
      </c>
      <c r="Q15" s="83">
        <f t="shared" si="3"/>
        <v>1.3430928288476163</v>
      </c>
      <c r="R15" s="83">
        <f>(G15*M15*1)/1000</f>
        <v>539.21226805205777</v>
      </c>
      <c r="S15" s="84" t="s">
        <v>793</v>
      </c>
      <c r="T15" s="84" t="s">
        <v>809</v>
      </c>
      <c r="U15" s="84" t="s">
        <v>795</v>
      </c>
      <c r="V15" s="84" t="s">
        <v>796</v>
      </c>
    </row>
    <row r="16" spans="1:22" ht="19.5" thickBot="1">
      <c r="C16" s="64"/>
      <c r="M16" s="69" t="s">
        <v>810</v>
      </c>
      <c r="N16" s="82">
        <f>SUM(N10:N15)</f>
        <v>15.329710136199356</v>
      </c>
      <c r="O16" s="82">
        <f>SUM(O10:O15)</f>
        <v>1012.0755093436834</v>
      </c>
      <c r="P16" s="82">
        <f>SUM(P10:P15)</f>
        <v>4.3303519286277954</v>
      </c>
      <c r="Q16" s="95">
        <f>SUM(Q10:Q15)</f>
        <v>1031.7355714085106</v>
      </c>
      <c r="R16" s="82">
        <f>SUM(R10:R15)</f>
        <v>749.40111610433951</v>
      </c>
    </row>
    <row r="17" spans="2:22">
      <c r="B17" s="60" t="s">
        <v>811</v>
      </c>
    </row>
    <row r="18" spans="2:22" ht="16.5" thickBot="1"/>
    <row r="19" spans="2:22" ht="24.75" customHeight="1" thickBot="1">
      <c r="B19" s="337" t="s">
        <v>764</v>
      </c>
      <c r="C19" s="338"/>
      <c r="D19" s="338"/>
      <c r="E19" s="339"/>
      <c r="F19" s="333" t="s">
        <v>765</v>
      </c>
      <c r="G19" s="308" t="s">
        <v>766</v>
      </c>
      <c r="H19" s="310"/>
      <c r="I19" s="308" t="s">
        <v>767</v>
      </c>
      <c r="J19" s="309"/>
      <c r="K19" s="309"/>
      <c r="L19" s="309"/>
      <c r="M19" s="310"/>
      <c r="N19" s="308" t="s">
        <v>768</v>
      </c>
      <c r="O19" s="309"/>
      <c r="P19" s="309"/>
      <c r="Q19" s="309"/>
      <c r="R19" s="310"/>
      <c r="S19" s="333" t="s">
        <v>769</v>
      </c>
      <c r="T19" s="333" t="s">
        <v>770</v>
      </c>
      <c r="U19" s="335" t="s">
        <v>771</v>
      </c>
      <c r="V19" s="266" t="s">
        <v>772</v>
      </c>
    </row>
    <row r="20" spans="2:22" ht="16.5" thickBot="1">
      <c r="B20" s="51" t="s">
        <v>773</v>
      </c>
      <c r="C20" s="51" t="s">
        <v>774</v>
      </c>
      <c r="D20" s="51" t="s">
        <v>775</v>
      </c>
      <c r="E20" s="51" t="s">
        <v>24</v>
      </c>
      <c r="F20" s="334"/>
      <c r="G20" s="51" t="s">
        <v>776</v>
      </c>
      <c r="H20" s="51" t="s">
        <v>256</v>
      </c>
      <c r="I20" s="51" t="s">
        <v>777</v>
      </c>
      <c r="J20" s="51" t="s">
        <v>259</v>
      </c>
      <c r="K20" s="51" t="s">
        <v>778</v>
      </c>
      <c r="L20" s="51" t="s">
        <v>261</v>
      </c>
      <c r="M20" s="51" t="s">
        <v>779</v>
      </c>
      <c r="N20" s="51" t="s">
        <v>259</v>
      </c>
      <c r="O20" s="51" t="s">
        <v>778</v>
      </c>
      <c r="P20" s="51" t="s">
        <v>261</v>
      </c>
      <c r="Q20" s="51" t="s">
        <v>780</v>
      </c>
      <c r="R20" s="51" t="s">
        <v>779</v>
      </c>
      <c r="S20" s="334"/>
      <c r="T20" s="334"/>
      <c r="U20" s="336"/>
      <c r="V20" s="266"/>
    </row>
    <row r="21" spans="2:22" ht="98.25" customHeight="1" thickBot="1">
      <c r="B21" s="58">
        <v>2</v>
      </c>
      <c r="C21" s="80" t="s">
        <v>812</v>
      </c>
      <c r="D21" s="80" t="s">
        <v>813</v>
      </c>
      <c r="E21" s="80" t="s">
        <v>814</v>
      </c>
      <c r="F21" s="5"/>
      <c r="G21" s="81">
        <f>'4.1. ANEXOS Energía'!C90-'4.2. ANEXOS Transporte'!C226</f>
        <v>30703577.064224824</v>
      </c>
      <c r="H21" s="5" t="s">
        <v>815</v>
      </c>
      <c r="I21" s="5" t="str">
        <f>'1.3. Factores de emisión'!D28</f>
        <v>Kg CO2 e / kWh</v>
      </c>
      <c r="J21" s="5"/>
      <c r="K21" s="5">
        <f>'1.3. Factores de emisión'!F29</f>
        <v>0.04</v>
      </c>
      <c r="L21" s="5"/>
      <c r="M21" s="5"/>
      <c r="N21" s="5"/>
      <c r="O21" s="82">
        <f>G21*K21*1/1000</f>
        <v>1228.1430825689931</v>
      </c>
      <c r="P21" s="5"/>
      <c r="Q21" s="82">
        <f>SUM(N21:P21)</f>
        <v>1228.1430825689931</v>
      </c>
      <c r="R21" s="5"/>
      <c r="S21" s="84" t="s">
        <v>793</v>
      </c>
      <c r="T21" s="84" t="s">
        <v>816</v>
      </c>
      <c r="U21" s="84" t="s">
        <v>193</v>
      </c>
      <c r="V21" s="84" t="s">
        <v>817</v>
      </c>
    </row>
    <row r="22" spans="2:22" ht="19.5" thickBot="1">
      <c r="C22" s="64"/>
      <c r="M22" s="69" t="s">
        <v>810</v>
      </c>
      <c r="N22" s="82"/>
      <c r="O22" s="82">
        <f>SUM(O21:O21)</f>
        <v>1228.1430825689931</v>
      </c>
      <c r="P22" s="82"/>
      <c r="Q22" s="95">
        <f>SUM(Q21:Q21)</f>
        <v>1228.1430825689931</v>
      </c>
      <c r="R22" s="82"/>
    </row>
    <row r="23" spans="2:22">
      <c r="B23" s="60" t="s">
        <v>811</v>
      </c>
    </row>
    <row r="24" spans="2:22" ht="16.5" thickBot="1"/>
    <row r="25" spans="2:22" ht="21.75" customHeight="1" thickBot="1">
      <c r="B25" s="337" t="s">
        <v>764</v>
      </c>
      <c r="C25" s="338"/>
      <c r="D25" s="338"/>
      <c r="E25" s="339"/>
      <c r="F25" s="333" t="s">
        <v>765</v>
      </c>
      <c r="G25" s="308" t="s">
        <v>766</v>
      </c>
      <c r="H25" s="310"/>
      <c r="I25" s="308" t="s">
        <v>767</v>
      </c>
      <c r="J25" s="309"/>
      <c r="K25" s="309"/>
      <c r="L25" s="309"/>
      <c r="M25" s="310"/>
      <c r="N25" s="308" t="s">
        <v>768</v>
      </c>
      <c r="O25" s="309"/>
      <c r="P25" s="309"/>
      <c r="Q25" s="309"/>
      <c r="R25" s="310"/>
      <c r="S25" s="333" t="s">
        <v>769</v>
      </c>
      <c r="T25" s="333" t="s">
        <v>770</v>
      </c>
      <c r="U25" s="335" t="s">
        <v>771</v>
      </c>
      <c r="V25" s="266" t="s">
        <v>772</v>
      </c>
    </row>
    <row r="26" spans="2:22" ht="16.5" thickBot="1">
      <c r="B26" s="51" t="s">
        <v>773</v>
      </c>
      <c r="C26" s="51" t="s">
        <v>774</v>
      </c>
      <c r="D26" s="51" t="s">
        <v>775</v>
      </c>
      <c r="E26" s="51" t="s">
        <v>24</v>
      </c>
      <c r="F26" s="334"/>
      <c r="G26" s="51" t="s">
        <v>776</v>
      </c>
      <c r="H26" s="51" t="s">
        <v>256</v>
      </c>
      <c r="I26" s="51" t="s">
        <v>777</v>
      </c>
      <c r="J26" s="51" t="s">
        <v>259</v>
      </c>
      <c r="K26" s="51" t="s">
        <v>778</v>
      </c>
      <c r="L26" s="51" t="s">
        <v>261</v>
      </c>
      <c r="M26" s="51" t="s">
        <v>779</v>
      </c>
      <c r="N26" s="51" t="s">
        <v>259</v>
      </c>
      <c r="O26" s="51" t="s">
        <v>778</v>
      </c>
      <c r="P26" s="51" t="s">
        <v>261</v>
      </c>
      <c r="Q26" s="51" t="s">
        <v>780</v>
      </c>
      <c r="R26" s="51" t="s">
        <v>779</v>
      </c>
      <c r="S26" s="334"/>
      <c r="T26" s="334"/>
      <c r="U26" s="336"/>
      <c r="V26" s="266"/>
    </row>
    <row r="27" spans="2:22" ht="83.25" customHeight="1" thickBot="1">
      <c r="B27" s="59">
        <v>3</v>
      </c>
      <c r="C27" s="80" t="s">
        <v>818</v>
      </c>
      <c r="D27" s="80" t="s">
        <v>819</v>
      </c>
      <c r="E27" s="80" t="s">
        <v>820</v>
      </c>
      <c r="F27" s="5"/>
      <c r="G27" s="81">
        <f>'4.1. ANEXOS Energía'!E117</f>
        <v>3061025.5081040673</v>
      </c>
      <c r="H27" s="5" t="str">
        <f>H21</f>
        <v>kWh</v>
      </c>
      <c r="I27" s="5" t="str">
        <f>I21</f>
        <v>Kg CO2 e / kWh</v>
      </c>
      <c r="J27" s="5"/>
      <c r="K27" s="5">
        <f>K21</f>
        <v>0.04</v>
      </c>
      <c r="L27" s="5"/>
      <c r="M27" s="5"/>
      <c r="N27" s="5"/>
      <c r="O27" s="83">
        <f>G27*K27*1/1000</f>
        <v>122.44102032416269</v>
      </c>
      <c r="P27" s="5"/>
      <c r="Q27" s="82">
        <f>SUM(N27:P27)</f>
        <v>122.44102032416269</v>
      </c>
      <c r="R27" s="5"/>
      <c r="S27" s="84" t="s">
        <v>793</v>
      </c>
      <c r="T27" s="84" t="s">
        <v>821</v>
      </c>
      <c r="U27" s="84" t="s">
        <v>193</v>
      </c>
      <c r="V27" s="84" t="s">
        <v>817</v>
      </c>
    </row>
    <row r="28" spans="2:22" ht="19.5" thickBot="1">
      <c r="C28" s="64"/>
      <c r="M28" s="69" t="s">
        <v>810</v>
      </c>
      <c r="N28" s="82"/>
      <c r="O28" s="82">
        <f>SUM(O27:O27)</f>
        <v>122.44102032416269</v>
      </c>
      <c r="P28" s="82"/>
      <c r="Q28" s="95">
        <f>SUM(Q27:Q27)</f>
        <v>122.44102032416269</v>
      </c>
      <c r="R28" s="82"/>
    </row>
    <row r="29" spans="2:22">
      <c r="B29" s="60" t="s">
        <v>811</v>
      </c>
    </row>
    <row r="31" spans="2:22">
      <c r="B31" s="341" t="s">
        <v>822</v>
      </c>
      <c r="C31" s="341"/>
      <c r="D31" s="341"/>
    </row>
    <row r="32" spans="2:22" ht="16.5" thickBot="1"/>
    <row r="33" spans="2:22" ht="16.5" thickBot="1">
      <c r="B33" s="266" t="s">
        <v>764</v>
      </c>
      <c r="C33" s="266"/>
      <c r="D33" s="266"/>
      <c r="E33" s="266"/>
      <c r="F33" s="340" t="s">
        <v>765</v>
      </c>
      <c r="G33" s="266" t="s">
        <v>766</v>
      </c>
      <c r="H33" s="266"/>
      <c r="I33" s="308" t="s">
        <v>767</v>
      </c>
      <c r="J33" s="309"/>
      <c r="K33" s="309"/>
      <c r="L33" s="309"/>
      <c r="M33" s="310"/>
      <c r="N33" s="308" t="s">
        <v>768</v>
      </c>
      <c r="O33" s="309"/>
      <c r="P33" s="309"/>
      <c r="Q33" s="309"/>
      <c r="R33" s="310"/>
      <c r="S33" s="340" t="s">
        <v>769</v>
      </c>
      <c r="T33" s="340" t="s">
        <v>770</v>
      </c>
      <c r="U33" s="266" t="s">
        <v>771</v>
      </c>
      <c r="V33" s="266" t="s">
        <v>772</v>
      </c>
    </row>
    <row r="34" spans="2:22" ht="16.5" thickBot="1">
      <c r="B34" s="51" t="s">
        <v>773</v>
      </c>
      <c r="C34" s="51" t="s">
        <v>774</v>
      </c>
      <c r="D34" s="51" t="s">
        <v>775</v>
      </c>
      <c r="E34" s="51" t="s">
        <v>24</v>
      </c>
      <c r="F34" s="340"/>
      <c r="G34" s="51" t="s">
        <v>776</v>
      </c>
      <c r="H34" s="51" t="s">
        <v>256</v>
      </c>
      <c r="I34" s="51" t="s">
        <v>777</v>
      </c>
      <c r="J34" s="51" t="s">
        <v>259</v>
      </c>
      <c r="K34" s="51" t="s">
        <v>778</v>
      </c>
      <c r="L34" s="51" t="s">
        <v>261</v>
      </c>
      <c r="M34" s="51" t="s">
        <v>779</v>
      </c>
      <c r="N34" s="51" t="s">
        <v>259</v>
      </c>
      <c r="O34" s="51" t="s">
        <v>778</v>
      </c>
      <c r="P34" s="51" t="s">
        <v>261</v>
      </c>
      <c r="Q34" s="51" t="s">
        <v>780</v>
      </c>
      <c r="R34" s="51" t="s">
        <v>779</v>
      </c>
      <c r="S34" s="340"/>
      <c r="T34" s="340"/>
      <c r="U34" s="266"/>
      <c r="V34" s="266"/>
    </row>
    <row r="35" spans="2:22" ht="79.5" thickBot="1">
      <c r="B35" s="58">
        <v>1</v>
      </c>
      <c r="C35" s="57" t="s">
        <v>781</v>
      </c>
      <c r="D35" s="57" t="s">
        <v>823</v>
      </c>
      <c r="E35" s="57" t="s">
        <v>824</v>
      </c>
      <c r="F35" s="5"/>
      <c r="G35" s="81">
        <f>'4.1. ANEXOS Energía'!D38</f>
        <v>52816.672000000006</v>
      </c>
      <c r="H35" s="5" t="s">
        <v>792</v>
      </c>
      <c r="I35" s="57" t="s">
        <v>785</v>
      </c>
      <c r="J35" s="5">
        <f>'1.3. Factores de emisión'!E45</f>
        <v>3.4599999999999995E-4</v>
      </c>
      <c r="K35" s="5">
        <f>'1.3. Factores de emisión'!F30</f>
        <v>2.2309999999999999</v>
      </c>
      <c r="L35" s="5">
        <f>'1.3. Factores de emisión'!G45</f>
        <v>2.211E-5</v>
      </c>
      <c r="M35" s="5"/>
      <c r="N35" s="121">
        <f>(J35*G35*'1.3. Factores de emisión'!$E$162)/1000</f>
        <v>0.38376593875199994</v>
      </c>
      <c r="O35" s="121">
        <f t="shared" ref="O35:O39" si="4">(G35*K35*1)/1000</f>
        <v>117.83399523200001</v>
      </c>
      <c r="P35" s="121">
        <f>(G35*L35*'1.3. Factores de emisión'!$E$163)/1000</f>
        <v>0.36201075155520007</v>
      </c>
      <c r="Q35" s="81">
        <f t="shared" ref="Q35:Q39" si="5">SUM(N35:P35)</f>
        <v>118.57977192230722</v>
      </c>
      <c r="R35" s="5"/>
      <c r="S35" s="84" t="s">
        <v>793</v>
      </c>
      <c r="T35" s="84" t="s">
        <v>825</v>
      </c>
      <c r="U35" s="84" t="s">
        <v>826</v>
      </c>
      <c r="V35" s="84" t="s">
        <v>796</v>
      </c>
    </row>
    <row r="36" spans="2:22" ht="79.5" thickBot="1">
      <c r="B36" s="58">
        <v>1</v>
      </c>
      <c r="C36" s="57" t="s">
        <v>781</v>
      </c>
      <c r="D36" s="57" t="s">
        <v>823</v>
      </c>
      <c r="E36" s="57" t="s">
        <v>827</v>
      </c>
      <c r="F36" s="5"/>
      <c r="G36" s="81">
        <f>'4.1. ANEXOS Energía'!C38</f>
        <v>144316.2084416</v>
      </c>
      <c r="H36" s="5" t="s">
        <v>792</v>
      </c>
      <c r="I36" s="57" t="s">
        <v>785</v>
      </c>
      <c r="J36" s="5">
        <f>'1.3. Factores de emisión'!E46</f>
        <v>3.8200000000000002E-4</v>
      </c>
      <c r="K36" s="5">
        <f>'1.3. Factores de emisión'!F31</f>
        <v>2.613</v>
      </c>
      <c r="L36" s="5">
        <f>'1.3. Factores de emisión'!G46</f>
        <v>2.442E-5</v>
      </c>
      <c r="M36" s="5"/>
      <c r="N36" s="121">
        <f>(J36*G36*'1.3. Factores de emisión'!$E$162)/1000</f>
        <v>1.1577046241185154</v>
      </c>
      <c r="O36" s="121">
        <f t="shared" si="4"/>
        <v>377.09825265790079</v>
      </c>
      <c r="P36" s="121">
        <f>(G36*L36*'1.3. Factores de emisión'!$E$163)/1000</f>
        <v>1.0925025611446004</v>
      </c>
      <c r="Q36" s="81">
        <f t="shared" si="5"/>
        <v>379.34845984316394</v>
      </c>
      <c r="R36" s="5"/>
      <c r="S36" s="84" t="s">
        <v>793</v>
      </c>
      <c r="T36" s="84" t="s">
        <v>828</v>
      </c>
      <c r="U36" s="84" t="s">
        <v>826</v>
      </c>
      <c r="V36" s="84" t="s">
        <v>796</v>
      </c>
    </row>
    <row r="37" spans="2:22" ht="79.5" thickBot="1">
      <c r="B37" s="58">
        <v>1</v>
      </c>
      <c r="C37" s="57" t="s">
        <v>781</v>
      </c>
      <c r="D37" s="57" t="s">
        <v>823</v>
      </c>
      <c r="E37" s="57" t="s">
        <v>829</v>
      </c>
      <c r="F37" s="5"/>
      <c r="G37" s="81">
        <f>'4.1. ANEXOS Energía'!F38</f>
        <v>740970.88</v>
      </c>
      <c r="H37" s="5" t="s">
        <v>792</v>
      </c>
      <c r="I37" s="57" t="s">
        <v>785</v>
      </c>
      <c r="J37" s="5">
        <f>'1.3. Factores de emisión'!E48</f>
        <v>1.3900000000000002E-4</v>
      </c>
      <c r="K37" s="5">
        <f>'1.3. Factores de emisión'!F34</f>
        <v>1.611</v>
      </c>
      <c r="L37" s="5">
        <f>'1.3. Factores de emisión'!G48</f>
        <v>2.745E-6</v>
      </c>
      <c r="M37" s="5"/>
      <c r="N37" s="121">
        <f>(J37*G37*'1.3. Factores de emisión'!$E$162)/1000</f>
        <v>2.16289399872</v>
      </c>
      <c r="O37" s="121">
        <f t="shared" si="4"/>
        <v>1193.7040876800002</v>
      </c>
      <c r="P37" s="121">
        <f>(G37*L37*'1.3. Factores de emisión'!$E$163)/1000</f>
        <v>0.63052917033599998</v>
      </c>
      <c r="Q37" s="81">
        <f t="shared" si="5"/>
        <v>1196.4975108490562</v>
      </c>
      <c r="R37" s="83"/>
      <c r="S37" s="84" t="s">
        <v>793</v>
      </c>
      <c r="T37" s="84" t="s">
        <v>830</v>
      </c>
      <c r="U37" s="84" t="s">
        <v>826</v>
      </c>
      <c r="V37" s="84" t="s">
        <v>796</v>
      </c>
    </row>
    <row r="38" spans="2:22" ht="79.5" thickBot="1">
      <c r="B38" s="58">
        <v>1</v>
      </c>
      <c r="C38" s="57" t="s">
        <v>781</v>
      </c>
      <c r="D38" s="57" t="s">
        <v>823</v>
      </c>
      <c r="E38" s="57" t="s">
        <v>831</v>
      </c>
      <c r="F38" s="5"/>
      <c r="G38" s="81">
        <f>'4.1. ANEXOS Energía'!G38</f>
        <v>172.55928575376342</v>
      </c>
      <c r="H38" s="5" t="s">
        <v>792</v>
      </c>
      <c r="I38" s="57" t="s">
        <v>785</v>
      </c>
      <c r="J38" s="5">
        <f>'1.3. Factores de emisión'!E49</f>
        <v>3.48E-4</v>
      </c>
      <c r="K38" s="5">
        <f>'1.3. Factores de emisión'!F37</f>
        <v>2.5489999999999999</v>
      </c>
      <c r="L38" s="5">
        <f>'1.3. Factores de emisión'!G49</f>
        <v>2.1000000000000002E-5</v>
      </c>
      <c r="M38" s="5"/>
      <c r="N38" s="121">
        <f>(J38*G38*'1.3. Factores de emisión'!$E$162)/1000</f>
        <v>1.261063260288503E-3</v>
      </c>
      <c r="O38" s="121">
        <f t="shared" si="4"/>
        <v>0.43985361938634293</v>
      </c>
      <c r="P38" s="121">
        <f>(G38*L38*'1.3. Factores de emisión'!$E$163)/1000</f>
        <v>1.1233609502569999E-3</v>
      </c>
      <c r="Q38" s="81">
        <f t="shared" si="5"/>
        <v>0.44223804359688845</v>
      </c>
      <c r="R38" s="83"/>
      <c r="S38" s="84" t="s">
        <v>793</v>
      </c>
      <c r="T38" s="84" t="s">
        <v>832</v>
      </c>
      <c r="U38" s="84" t="s">
        <v>826</v>
      </c>
      <c r="V38" s="84" t="s">
        <v>796</v>
      </c>
    </row>
    <row r="39" spans="2:22" ht="79.5" thickBot="1">
      <c r="B39" s="58">
        <v>1</v>
      </c>
      <c r="C39" s="57" t="s">
        <v>781</v>
      </c>
      <c r="D39" s="57" t="s">
        <v>833</v>
      </c>
      <c r="E39" s="57" t="s">
        <v>834</v>
      </c>
      <c r="F39" s="5"/>
      <c r="G39" s="81">
        <f>'4.1. ANEXOS Energía'!F43</f>
        <v>62.738958218548177</v>
      </c>
      <c r="H39" s="5" t="s">
        <v>804</v>
      </c>
      <c r="I39" s="57" t="s">
        <v>805</v>
      </c>
      <c r="J39" s="5">
        <f>'1.3. Factores de emisión'!E128</f>
        <v>300</v>
      </c>
      <c r="K39" s="5">
        <v>0</v>
      </c>
      <c r="L39" s="5">
        <f>'1.3. Factores de emisión'!G128</f>
        <v>4</v>
      </c>
      <c r="M39" s="5">
        <f>'1.3. Factores de emisión'!F128</f>
        <v>112000</v>
      </c>
      <c r="N39" s="121">
        <f>(J39*G39*'1.3. Factores de emisión'!$E$162)/1000</f>
        <v>395.25543677685351</v>
      </c>
      <c r="O39" s="121">
        <f t="shared" si="4"/>
        <v>0</v>
      </c>
      <c r="P39" s="121">
        <f>(G39*L39*'1.3. Factores de emisión'!$E$163)/1000</f>
        <v>77.796308190999738</v>
      </c>
      <c r="Q39" s="83">
        <f t="shared" si="5"/>
        <v>473.05174496785327</v>
      </c>
      <c r="R39" s="83">
        <f>(G39*M39*1)/1000</f>
        <v>7026.7633204773965</v>
      </c>
      <c r="S39" s="84" t="s">
        <v>793</v>
      </c>
      <c r="T39" s="84" t="s">
        <v>835</v>
      </c>
      <c r="U39" s="84" t="s">
        <v>826</v>
      </c>
      <c r="V39" s="84" t="s">
        <v>796</v>
      </c>
    </row>
    <row r="40" spans="2:22" ht="19.5" thickBot="1">
      <c r="C40" s="64"/>
      <c r="M40" s="69" t="s">
        <v>810</v>
      </c>
      <c r="N40" s="82">
        <f>SUM(N35:N39)</f>
        <v>398.96106240170434</v>
      </c>
      <c r="O40" s="82">
        <f>SUM(O35:O39)</f>
        <v>1689.0761891892873</v>
      </c>
      <c r="P40" s="82">
        <f>SUM(P35:P39)</f>
        <v>79.88247403498579</v>
      </c>
      <c r="Q40" s="95">
        <f>SUM(Q35:Q39)</f>
        <v>2167.9197256259777</v>
      </c>
      <c r="R40" s="82">
        <f>SUM(R35:R39)</f>
        <v>7026.7633204773965</v>
      </c>
    </row>
    <row r="41" spans="2:22">
      <c r="B41" s="60" t="s">
        <v>811</v>
      </c>
    </row>
    <row r="42" spans="2:22" ht="16.5" thickBot="1"/>
    <row r="43" spans="2:22" ht="16.5" thickBot="1">
      <c r="B43" s="337" t="s">
        <v>764</v>
      </c>
      <c r="C43" s="338"/>
      <c r="D43" s="338"/>
      <c r="E43" s="339"/>
      <c r="F43" s="333" t="s">
        <v>765</v>
      </c>
      <c r="G43" s="308" t="s">
        <v>766</v>
      </c>
      <c r="H43" s="310"/>
      <c r="I43" s="308" t="s">
        <v>767</v>
      </c>
      <c r="J43" s="309"/>
      <c r="K43" s="309"/>
      <c r="L43" s="309"/>
      <c r="M43" s="310"/>
      <c r="N43" s="308" t="s">
        <v>768</v>
      </c>
      <c r="O43" s="309"/>
      <c r="P43" s="309"/>
      <c r="Q43" s="309"/>
      <c r="R43" s="310"/>
      <c r="S43" s="333" t="s">
        <v>769</v>
      </c>
      <c r="T43" s="333" t="s">
        <v>770</v>
      </c>
      <c r="U43" s="335" t="s">
        <v>771</v>
      </c>
      <c r="V43" s="266" t="s">
        <v>772</v>
      </c>
    </row>
    <row r="44" spans="2:22" ht="16.5" thickBot="1">
      <c r="B44" s="51" t="s">
        <v>773</v>
      </c>
      <c r="C44" s="51" t="s">
        <v>774</v>
      </c>
      <c r="D44" s="51" t="s">
        <v>775</v>
      </c>
      <c r="E44" s="51" t="s">
        <v>24</v>
      </c>
      <c r="F44" s="334"/>
      <c r="G44" s="51" t="s">
        <v>776</v>
      </c>
      <c r="H44" s="51" t="s">
        <v>256</v>
      </c>
      <c r="I44" s="51" t="s">
        <v>777</v>
      </c>
      <c r="J44" s="51" t="s">
        <v>259</v>
      </c>
      <c r="K44" s="51" t="s">
        <v>778</v>
      </c>
      <c r="L44" s="51" t="s">
        <v>261</v>
      </c>
      <c r="M44" s="51" t="s">
        <v>779</v>
      </c>
      <c r="N44" s="51" t="s">
        <v>259</v>
      </c>
      <c r="O44" s="51" t="s">
        <v>778</v>
      </c>
      <c r="P44" s="51" t="s">
        <v>261</v>
      </c>
      <c r="Q44" s="51" t="s">
        <v>780</v>
      </c>
      <c r="R44" s="51" t="s">
        <v>779</v>
      </c>
      <c r="S44" s="334"/>
      <c r="T44" s="334"/>
      <c r="U44" s="336"/>
      <c r="V44" s="266"/>
    </row>
    <row r="45" spans="2:22" ht="63.75" thickBot="1">
      <c r="B45" s="58">
        <v>2</v>
      </c>
      <c r="C45" s="57" t="s">
        <v>812</v>
      </c>
      <c r="D45" s="80" t="s">
        <v>813</v>
      </c>
      <c r="E45" s="80" t="s">
        <v>836</v>
      </c>
      <c r="F45" s="5"/>
      <c r="G45" s="81">
        <f>'4.1. ANEXOS Energía'!C91</f>
        <v>66178670</v>
      </c>
      <c r="H45" s="5" t="str">
        <f>H27</f>
        <v>kWh</v>
      </c>
      <c r="I45" s="5" t="str">
        <f>I27</f>
        <v>Kg CO2 e / kWh</v>
      </c>
      <c r="J45" s="5"/>
      <c r="K45" s="5">
        <f>K27</f>
        <v>0.04</v>
      </c>
      <c r="L45" s="5"/>
      <c r="M45" s="5"/>
      <c r="N45" s="5"/>
      <c r="O45" s="82">
        <f>G45*K45*1/1000</f>
        <v>2647.1468000000004</v>
      </c>
      <c r="P45" s="5"/>
      <c r="Q45" s="82">
        <f>SUM(N45:P45)</f>
        <v>2647.1468000000004</v>
      </c>
      <c r="R45" s="5"/>
      <c r="S45" s="84" t="s">
        <v>793</v>
      </c>
      <c r="T45" s="84" t="s">
        <v>816</v>
      </c>
      <c r="U45" s="84" t="s">
        <v>193</v>
      </c>
      <c r="V45" s="84" t="s">
        <v>817</v>
      </c>
    </row>
    <row r="46" spans="2:22" ht="19.5" thickBot="1">
      <c r="C46" s="64"/>
      <c r="M46" s="69" t="s">
        <v>810</v>
      </c>
      <c r="N46" s="82">
        <f>SUM(N45:N45)</f>
        <v>0</v>
      </c>
      <c r="O46" s="82">
        <f>SUM(O45:O45)</f>
        <v>2647.1468000000004</v>
      </c>
      <c r="P46" s="82">
        <f>SUM(P45:P45)</f>
        <v>0</v>
      </c>
      <c r="Q46" s="95">
        <f>SUM(Q45:Q45)</f>
        <v>2647.1468000000004</v>
      </c>
      <c r="R46" s="82"/>
    </row>
    <row r="47" spans="2:22">
      <c r="B47" s="60" t="s">
        <v>811</v>
      </c>
    </row>
    <row r="48" spans="2:22" ht="16.5" thickBot="1"/>
    <row r="49" spans="2:22" ht="16.5" thickBot="1">
      <c r="B49" s="337" t="s">
        <v>764</v>
      </c>
      <c r="C49" s="338"/>
      <c r="D49" s="338"/>
      <c r="E49" s="339"/>
      <c r="F49" s="333" t="s">
        <v>765</v>
      </c>
      <c r="G49" s="308" t="s">
        <v>766</v>
      </c>
      <c r="H49" s="310"/>
      <c r="I49" s="308" t="s">
        <v>767</v>
      </c>
      <c r="J49" s="309"/>
      <c r="K49" s="309"/>
      <c r="L49" s="309"/>
      <c r="M49" s="310"/>
      <c r="N49" s="308" t="s">
        <v>768</v>
      </c>
      <c r="O49" s="309"/>
      <c r="P49" s="309"/>
      <c r="Q49" s="309"/>
      <c r="R49" s="310"/>
      <c r="S49" s="333" t="s">
        <v>769</v>
      </c>
      <c r="T49" s="333" t="s">
        <v>770</v>
      </c>
      <c r="U49" s="335" t="s">
        <v>771</v>
      </c>
      <c r="V49" s="266" t="s">
        <v>772</v>
      </c>
    </row>
    <row r="50" spans="2:22" ht="16.5" thickBot="1">
      <c r="B50" s="51" t="s">
        <v>773</v>
      </c>
      <c r="C50" s="51" t="s">
        <v>774</v>
      </c>
      <c r="D50" s="51" t="s">
        <v>775</v>
      </c>
      <c r="E50" s="51" t="s">
        <v>24</v>
      </c>
      <c r="F50" s="334"/>
      <c r="G50" s="51" t="s">
        <v>776</v>
      </c>
      <c r="H50" s="51" t="s">
        <v>256</v>
      </c>
      <c r="I50" s="51" t="s">
        <v>777</v>
      </c>
      <c r="J50" s="51" t="s">
        <v>259</v>
      </c>
      <c r="K50" s="51" t="s">
        <v>778</v>
      </c>
      <c r="L50" s="51" t="s">
        <v>261</v>
      </c>
      <c r="M50" s="51" t="s">
        <v>779</v>
      </c>
      <c r="N50" s="51" t="s">
        <v>259</v>
      </c>
      <c r="O50" s="51" t="s">
        <v>778</v>
      </c>
      <c r="P50" s="51" t="s">
        <v>261</v>
      </c>
      <c r="Q50" s="51" t="s">
        <v>780</v>
      </c>
      <c r="R50" s="51" t="s">
        <v>779</v>
      </c>
      <c r="S50" s="334"/>
      <c r="T50" s="334"/>
      <c r="U50" s="336"/>
      <c r="V50" s="266"/>
    </row>
    <row r="51" spans="2:22" ht="75.75" customHeight="1" thickBot="1">
      <c r="B51" s="59">
        <v>3</v>
      </c>
      <c r="C51" s="57" t="s">
        <v>818</v>
      </c>
      <c r="D51" s="80" t="s">
        <v>819</v>
      </c>
      <c r="E51" s="80" t="s">
        <v>837</v>
      </c>
      <c r="F51" s="5"/>
      <c r="G51" s="81">
        <f>'4.1. ANEXOS Energía'!E118</f>
        <v>6584777.665</v>
      </c>
      <c r="H51" s="5" t="str">
        <f>H45</f>
        <v>kWh</v>
      </c>
      <c r="I51" s="5" t="str">
        <f>I45</f>
        <v>Kg CO2 e / kWh</v>
      </c>
      <c r="J51" s="5"/>
      <c r="K51" s="5">
        <f>K45</f>
        <v>0.04</v>
      </c>
      <c r="L51" s="5"/>
      <c r="M51" s="5"/>
      <c r="N51" s="5"/>
      <c r="O51" s="83">
        <f>G51*K51*1/1000</f>
        <v>263.3911066</v>
      </c>
      <c r="P51" s="5"/>
      <c r="Q51" s="83">
        <f>SUM(N51:P51)</f>
        <v>263.3911066</v>
      </c>
      <c r="R51" s="5"/>
      <c r="S51" s="84" t="s">
        <v>793</v>
      </c>
      <c r="T51" s="84" t="s">
        <v>821</v>
      </c>
      <c r="U51" s="84" t="s">
        <v>193</v>
      </c>
      <c r="V51" s="84" t="s">
        <v>817</v>
      </c>
    </row>
    <row r="52" spans="2:22" ht="19.5" thickBot="1">
      <c r="C52" s="64"/>
      <c r="M52" s="69" t="s">
        <v>810</v>
      </c>
      <c r="N52" s="82">
        <f>SUM(N51:N51)</f>
        <v>0</v>
      </c>
      <c r="O52" s="82">
        <f>SUM(O51:O51)</f>
        <v>263.3911066</v>
      </c>
      <c r="P52" s="82">
        <f>SUM(P51:P51)</f>
        <v>0</v>
      </c>
      <c r="Q52" s="95">
        <f>SUM(Q51:Q51)</f>
        <v>263.3911066</v>
      </c>
      <c r="R52" s="82">
        <f>SUM(R51:R51)</f>
        <v>0</v>
      </c>
    </row>
    <row r="53" spans="2:22">
      <c r="B53" s="60" t="s">
        <v>811</v>
      </c>
    </row>
    <row r="54" spans="2:22">
      <c r="B54" s="60"/>
    </row>
    <row r="55" spans="2:22">
      <c r="B55" s="341" t="s">
        <v>838</v>
      </c>
      <c r="C55" s="341"/>
    </row>
    <row r="56" spans="2:22" ht="16.5" thickBot="1"/>
    <row r="57" spans="2:22" ht="16.5" thickBot="1">
      <c r="B57" s="266" t="s">
        <v>764</v>
      </c>
      <c r="C57" s="266"/>
      <c r="D57" s="266"/>
      <c r="E57" s="266"/>
      <c r="F57" s="340" t="s">
        <v>765</v>
      </c>
      <c r="G57" s="266" t="s">
        <v>766</v>
      </c>
      <c r="H57" s="266"/>
      <c r="I57" s="308" t="s">
        <v>767</v>
      </c>
      <c r="J57" s="309"/>
      <c r="K57" s="309"/>
      <c r="L57" s="309"/>
      <c r="M57" s="310"/>
      <c r="N57" s="308" t="s">
        <v>768</v>
      </c>
      <c r="O57" s="309"/>
      <c r="P57" s="309"/>
      <c r="Q57" s="309"/>
      <c r="R57" s="310"/>
      <c r="S57" s="340" t="s">
        <v>769</v>
      </c>
      <c r="T57" s="340" t="s">
        <v>770</v>
      </c>
      <c r="U57" s="266" t="s">
        <v>771</v>
      </c>
      <c r="V57" s="266" t="s">
        <v>772</v>
      </c>
    </row>
    <row r="58" spans="2:22" ht="16.5" thickBot="1">
      <c r="B58" s="51" t="s">
        <v>773</v>
      </c>
      <c r="C58" s="51" t="s">
        <v>774</v>
      </c>
      <c r="D58" s="51" t="s">
        <v>775</v>
      </c>
      <c r="E58" s="51" t="s">
        <v>24</v>
      </c>
      <c r="F58" s="340"/>
      <c r="G58" s="51" t="s">
        <v>776</v>
      </c>
      <c r="H58" s="51" t="s">
        <v>256</v>
      </c>
      <c r="I58" s="51" t="s">
        <v>777</v>
      </c>
      <c r="J58" s="51" t="s">
        <v>259</v>
      </c>
      <c r="K58" s="51" t="s">
        <v>778</v>
      </c>
      <c r="L58" s="51" t="s">
        <v>261</v>
      </c>
      <c r="M58" s="51" t="s">
        <v>779</v>
      </c>
      <c r="N58" s="51" t="s">
        <v>259</v>
      </c>
      <c r="O58" s="51" t="s">
        <v>778</v>
      </c>
      <c r="P58" s="51" t="s">
        <v>261</v>
      </c>
      <c r="Q58" s="51" t="s">
        <v>780</v>
      </c>
      <c r="R58" s="51" t="s">
        <v>779</v>
      </c>
      <c r="S58" s="340"/>
      <c r="T58" s="340"/>
      <c r="U58" s="266"/>
      <c r="V58" s="266"/>
    </row>
    <row r="59" spans="2:22" ht="91.5" customHeight="1" thickBot="1">
      <c r="B59" s="58">
        <v>1</v>
      </c>
      <c r="C59" s="57" t="s">
        <v>781</v>
      </c>
      <c r="D59" s="111" t="s">
        <v>839</v>
      </c>
      <c r="E59" s="80" t="s">
        <v>840</v>
      </c>
      <c r="F59" s="5"/>
      <c r="G59" s="81">
        <f>'4.1. ANEXOS Energía'!F12</f>
        <v>4599483</v>
      </c>
      <c r="H59" s="5" t="s">
        <v>792</v>
      </c>
      <c r="I59" s="5" t="s">
        <v>785</v>
      </c>
      <c r="J59" s="5">
        <f>'1.3. Factores de emisión'!E42</f>
        <v>1.3800000000000002E-4</v>
      </c>
      <c r="K59" s="5">
        <f>'1.3. Factores de emisión'!F32</f>
        <v>3.101</v>
      </c>
      <c r="L59" s="5">
        <f>'1.3. Factores de emisión'!G42</f>
        <v>2.7690000000000001E-5</v>
      </c>
      <c r="M59" s="5"/>
      <c r="N59" s="121">
        <f>(G59*J59*'1.3. Factores de emisión'!E162)/1000</f>
        <v>13.329301734000003</v>
      </c>
      <c r="O59" s="121">
        <f>(G59*K59*1)/1000</f>
        <v>14262.996783000001</v>
      </c>
      <c r="P59" s="121">
        <f>(G59*L59*'1.3. Factores de emisión'!E163)/1000</f>
        <v>39.481502123700004</v>
      </c>
      <c r="Q59" s="81">
        <f>SUM(N59:P59)</f>
        <v>14315.8075868577</v>
      </c>
      <c r="R59" s="5"/>
      <c r="S59" s="94" t="s">
        <v>793</v>
      </c>
      <c r="T59" s="84" t="s">
        <v>841</v>
      </c>
      <c r="U59" s="84" t="s">
        <v>186</v>
      </c>
      <c r="V59" s="84" t="s">
        <v>842</v>
      </c>
    </row>
    <row r="60" spans="2:22" ht="91.5" customHeight="1" thickBot="1">
      <c r="B60" s="58">
        <v>1</v>
      </c>
      <c r="C60" s="57" t="s">
        <v>781</v>
      </c>
      <c r="D60" s="111" t="s">
        <v>839</v>
      </c>
      <c r="E60" s="80" t="s">
        <v>843</v>
      </c>
      <c r="F60" s="5"/>
      <c r="G60" s="81">
        <f>'4.1. ANEXOS Energía'!E52</f>
        <v>24357657.581999999</v>
      </c>
      <c r="H60" s="5" t="s">
        <v>792</v>
      </c>
      <c r="I60" s="5" t="s">
        <v>785</v>
      </c>
      <c r="J60" s="5">
        <f>J59</f>
        <v>1.3800000000000002E-4</v>
      </c>
      <c r="K60" s="5">
        <f>K59</f>
        <v>3.101</v>
      </c>
      <c r="L60" s="5">
        <f>L59</f>
        <v>2.7690000000000001E-5</v>
      </c>
      <c r="M60" s="5"/>
      <c r="N60" s="121">
        <f>(G60*J60*'1.3. Factores de emisión'!E163)/1000</f>
        <v>1042.02059135796</v>
      </c>
      <c r="O60" s="121">
        <f>(G60*K60*1)/1000</f>
        <v>75533.096161781999</v>
      </c>
      <c r="P60" s="121">
        <f>(G60*L60*'1.3. Factores de emisión'!E164)/1000</f>
        <v>0</v>
      </c>
      <c r="Q60" s="81">
        <f>SUM(N60:P60)</f>
        <v>76575.116753139955</v>
      </c>
      <c r="R60" s="5"/>
      <c r="S60" s="84" t="s">
        <v>793</v>
      </c>
      <c r="T60" s="84" t="s">
        <v>844</v>
      </c>
      <c r="U60" s="84" t="s">
        <v>845</v>
      </c>
      <c r="V60" s="84" t="s">
        <v>796</v>
      </c>
    </row>
    <row r="61" spans="2:22" ht="90" customHeight="1" thickBot="1">
      <c r="B61" s="58">
        <v>1</v>
      </c>
      <c r="C61" s="57" t="s">
        <v>781</v>
      </c>
      <c r="D61" s="111" t="s">
        <v>846</v>
      </c>
      <c r="E61" s="80" t="s">
        <v>847</v>
      </c>
      <c r="F61" s="5"/>
      <c r="G61" s="81">
        <f>'4.1. ANEXOS Energía'!C12</f>
        <v>966268.64</v>
      </c>
      <c r="H61" s="5" t="str">
        <f>H59</f>
        <v>Litros</v>
      </c>
      <c r="I61" s="5" t="str">
        <f>I59</f>
        <v>kg de GEI/L de combustible</v>
      </c>
      <c r="J61" s="5">
        <f>'1.3. Factores de emisión'!E41</f>
        <v>1.22E-4</v>
      </c>
      <c r="K61" s="5">
        <f>'1.3. Factores de emisión'!F31</f>
        <v>2.613</v>
      </c>
      <c r="L61" s="5">
        <f>'1.3. Factores de emisión'!G41</f>
        <v>2.442E-5</v>
      </c>
      <c r="M61" s="5"/>
      <c r="N61" s="121">
        <f>(J61*G61*'1.3. Factores de emisión'!$E$162)/1000</f>
        <v>2.4755802556799997</v>
      </c>
      <c r="O61" s="121">
        <f>(G61*K61*1)/1000</f>
        <v>2524.85995632</v>
      </c>
      <c r="P61" s="121">
        <f>(G61*L61*'1.3. Factores de emisión'!$E$163)/1000</f>
        <v>7.3148468585280009</v>
      </c>
      <c r="Q61" s="81">
        <f>SUM(N61:P61)</f>
        <v>2534.6503834342084</v>
      </c>
      <c r="R61" s="5"/>
      <c r="S61" s="94" t="s">
        <v>793</v>
      </c>
      <c r="T61" s="84" t="s">
        <v>841</v>
      </c>
      <c r="U61" s="84" t="s">
        <v>186</v>
      </c>
      <c r="V61" s="84" t="s">
        <v>842</v>
      </c>
    </row>
    <row r="62" spans="2:22" ht="90" customHeight="1" thickBot="1">
      <c r="B62" s="58">
        <v>1</v>
      </c>
      <c r="C62" s="57" t="s">
        <v>781</v>
      </c>
      <c r="D62" s="57" t="s">
        <v>823</v>
      </c>
      <c r="E62" s="57" t="s">
        <v>848</v>
      </c>
      <c r="F62" s="5"/>
      <c r="G62" s="81">
        <f>'4.1. ANEXOS Energía'!D52</f>
        <v>169169.47</v>
      </c>
      <c r="H62" s="5" t="s">
        <v>792</v>
      </c>
      <c r="I62" s="57" t="s">
        <v>785</v>
      </c>
      <c r="J62" s="5">
        <f>'1.3. Factores de emisión'!E40</f>
        <v>1.11E-4</v>
      </c>
      <c r="K62" s="5">
        <f>'1.3. Factores de emisión'!F30</f>
        <v>2.2309999999999999</v>
      </c>
      <c r="L62" s="5">
        <f>'1.3. Factores de emisión'!G40</f>
        <v>2.211E-5</v>
      </c>
      <c r="M62" s="5"/>
      <c r="N62" s="121">
        <f>(J62*G62*'1.3. Factores de emisión'!$E$162)/1000</f>
        <v>0.39433403456999999</v>
      </c>
      <c r="O62" s="121">
        <f t="shared" ref="O62:O67" si="6">(G62*K62*1)/1000</f>
        <v>377.41708756999998</v>
      </c>
      <c r="P62" s="121">
        <f>(G62*L62*'1.3. Factores de emisión'!$E$163)/1000</f>
        <v>1.1595044643270001</v>
      </c>
      <c r="Q62" s="81">
        <f t="shared" ref="Q62:Q67" si="7">SUM(N62:P62)</f>
        <v>378.97092606889703</v>
      </c>
      <c r="R62" s="5"/>
      <c r="S62" s="84" t="s">
        <v>793</v>
      </c>
      <c r="T62" s="84" t="s">
        <v>844</v>
      </c>
      <c r="U62" s="84" t="s">
        <v>845</v>
      </c>
      <c r="V62" s="84" t="s">
        <v>796</v>
      </c>
    </row>
    <row r="63" spans="2:22" ht="90" customHeight="1" thickBot="1">
      <c r="B63" s="58">
        <v>1</v>
      </c>
      <c r="C63" s="57" t="s">
        <v>781</v>
      </c>
      <c r="D63" s="57" t="s">
        <v>823</v>
      </c>
      <c r="E63" s="57" t="s">
        <v>849</v>
      </c>
      <c r="F63" s="5"/>
      <c r="G63" s="81">
        <f>'4.1. ANEXOS Energía'!C52</f>
        <v>390336.36</v>
      </c>
      <c r="H63" s="5" t="s">
        <v>792</v>
      </c>
      <c r="I63" s="57" t="s">
        <v>785</v>
      </c>
      <c r="J63" s="5">
        <f>'1.3. Factores de emisión'!E41</f>
        <v>1.22E-4</v>
      </c>
      <c r="K63" s="5">
        <f>'1.3. Factores de emisión'!F31</f>
        <v>2.613</v>
      </c>
      <c r="L63" s="5">
        <f>'1.3. Factores de emisión'!G41</f>
        <v>2.442E-5</v>
      </c>
      <c r="M63" s="5"/>
      <c r="N63" s="121">
        <f>(J63*G63*'1.3. Factores de emisión'!$E$162)/1000</f>
        <v>1.00004175432</v>
      </c>
      <c r="O63" s="121">
        <f t="shared" si="6"/>
        <v>1019.94890868</v>
      </c>
      <c r="P63" s="121">
        <f>(G63*L63*'1.3. Factores de emisión'!$E$163)/1000</f>
        <v>2.9549243124719999</v>
      </c>
      <c r="Q63" s="81">
        <f t="shared" si="7"/>
        <v>1023.9038747467921</v>
      </c>
      <c r="R63" s="5"/>
      <c r="S63" s="84" t="s">
        <v>793</v>
      </c>
      <c r="T63" s="84" t="s">
        <v>850</v>
      </c>
      <c r="U63" s="84" t="s">
        <v>845</v>
      </c>
      <c r="V63" s="84" t="s">
        <v>796</v>
      </c>
    </row>
    <row r="64" spans="2:22" ht="90" customHeight="1" thickBot="1">
      <c r="B64" s="58">
        <v>1</v>
      </c>
      <c r="C64" s="57" t="s">
        <v>781</v>
      </c>
      <c r="D64" s="57" t="s">
        <v>823</v>
      </c>
      <c r="E64" s="57" t="s">
        <v>851</v>
      </c>
      <c r="F64" s="5"/>
      <c r="G64" s="81">
        <f>'4.1. ANEXOS Energía'!F52</f>
        <v>1536771.44</v>
      </c>
      <c r="H64" s="5" t="s">
        <v>792</v>
      </c>
      <c r="I64" s="57" t="s">
        <v>785</v>
      </c>
      <c r="J64" s="5">
        <f>'1.3. Factores de emisión'!E43</f>
        <v>2.6999999999999999E-5</v>
      </c>
      <c r="K64" s="5">
        <f>'1.3. Factores de emisión'!F34</f>
        <v>1.611</v>
      </c>
      <c r="L64" s="5">
        <f>'1.3. Factores de emisión'!G43</f>
        <v>2.745E-6</v>
      </c>
      <c r="M64" s="5"/>
      <c r="N64" s="121">
        <f>(J64*G64*'1.3. Factores de emisión'!$E$162)/1000</f>
        <v>0.87134940647999992</v>
      </c>
      <c r="O64" s="121">
        <f t="shared" si="6"/>
        <v>2475.7387898399998</v>
      </c>
      <c r="P64" s="121">
        <f>(G64*L64*'1.3. Factores de emisión'!$E$163)/1000</f>
        <v>1.307715656868</v>
      </c>
      <c r="Q64" s="81">
        <f t="shared" si="7"/>
        <v>2477.9178549033477</v>
      </c>
      <c r="R64" s="83"/>
      <c r="S64" s="84" t="s">
        <v>793</v>
      </c>
      <c r="T64" s="84" t="s">
        <v>852</v>
      </c>
      <c r="U64" s="84" t="s">
        <v>845</v>
      </c>
      <c r="V64" s="84" t="s">
        <v>796</v>
      </c>
    </row>
    <row r="65" spans="2:22" ht="105" customHeight="1" thickBot="1">
      <c r="B65" s="58">
        <v>1</v>
      </c>
      <c r="C65" s="57" t="s">
        <v>781</v>
      </c>
      <c r="D65" s="57" t="s">
        <v>823</v>
      </c>
      <c r="E65" s="57" t="s">
        <v>853</v>
      </c>
      <c r="F65" s="5"/>
      <c r="G65" s="81">
        <f>'4.1. ANEXOS Energía'!G52</f>
        <v>1683.5493571428569</v>
      </c>
      <c r="H65" s="5" t="s">
        <v>792</v>
      </c>
      <c r="I65" s="57" t="s">
        <v>785</v>
      </c>
      <c r="J65" s="5">
        <f>'1.3. Factores de emisión'!E44</f>
        <v>1.0399999999999999E-4</v>
      </c>
      <c r="K65" s="5">
        <f>'1.3. Factores de emisión'!F37</f>
        <v>2.5489999999999999</v>
      </c>
      <c r="L65" s="5">
        <f>'1.3. Factores de emisión'!G44</f>
        <v>2.1000000000000002E-5</v>
      </c>
      <c r="M65" s="5"/>
      <c r="N65" s="121">
        <f>(J65*G65*'1.3. Factores de emisión'!$E$162)/1000</f>
        <v>3.6768717959999994E-3</v>
      </c>
      <c r="O65" s="121">
        <f t="shared" si="6"/>
        <v>4.291367311357142</v>
      </c>
      <c r="P65" s="121">
        <f>(G65*L65*'1.3. Factores de emisión'!$E$163)/1000</f>
        <v>1.0959906315E-2</v>
      </c>
      <c r="Q65" s="81">
        <f t="shared" si="7"/>
        <v>4.3060040894681419</v>
      </c>
      <c r="R65" s="83"/>
      <c r="S65" s="84" t="s">
        <v>793</v>
      </c>
      <c r="T65" s="84" t="s">
        <v>854</v>
      </c>
      <c r="U65" s="84" t="s">
        <v>845</v>
      </c>
      <c r="V65" s="84" t="s">
        <v>796</v>
      </c>
    </row>
    <row r="66" spans="2:22" ht="90" customHeight="1" thickBot="1">
      <c r="B66" s="58">
        <v>1</v>
      </c>
      <c r="C66" s="57" t="s">
        <v>781</v>
      </c>
      <c r="D66" s="57" t="s">
        <v>833</v>
      </c>
      <c r="E66" s="57" t="s">
        <v>855</v>
      </c>
      <c r="F66" s="5"/>
      <c r="G66" s="81">
        <f>'4.1. ANEXOS Energía'!F57</f>
        <v>126.79055999999999</v>
      </c>
      <c r="H66" s="5" t="s">
        <v>804</v>
      </c>
      <c r="I66" s="57" t="s">
        <v>805</v>
      </c>
      <c r="J66" s="5">
        <f>'1.3. Factores de emisión'!E128</f>
        <v>300</v>
      </c>
      <c r="K66" s="5">
        <v>0</v>
      </c>
      <c r="L66" s="5">
        <f>'1.3. Factores de emisión'!G128</f>
        <v>4</v>
      </c>
      <c r="M66" s="5">
        <f>'1.3. Factores de emisión'!F128</f>
        <v>112000</v>
      </c>
      <c r="N66" s="121">
        <f>(J66*G66*'1.3. Factores de emisión'!$E$162)/1000</f>
        <v>798.78052799999989</v>
      </c>
      <c r="O66" s="121">
        <f t="shared" si="6"/>
        <v>0</v>
      </c>
      <c r="P66" s="121">
        <f>(G66*L66*'1.3. Factores de emisión'!$E$163)/1000</f>
        <v>157.22029439999997</v>
      </c>
      <c r="Q66" s="83">
        <f t="shared" si="7"/>
        <v>956.00082239999983</v>
      </c>
      <c r="R66" s="83">
        <f>(G66*M66*1)/1000</f>
        <v>14200.542719999999</v>
      </c>
      <c r="S66" s="84" t="s">
        <v>793</v>
      </c>
      <c r="T66" s="84" t="s">
        <v>856</v>
      </c>
      <c r="U66" s="84" t="s">
        <v>845</v>
      </c>
      <c r="V66" s="84" t="s">
        <v>796</v>
      </c>
    </row>
    <row r="67" spans="2:22" ht="90" customHeight="1" thickBot="1">
      <c r="B67" s="58">
        <v>1</v>
      </c>
      <c r="C67" s="57" t="s">
        <v>781</v>
      </c>
      <c r="D67" s="134" t="s">
        <v>807</v>
      </c>
      <c r="E67" s="57" t="s">
        <v>857</v>
      </c>
      <c r="F67" s="5"/>
      <c r="G67" s="81">
        <f>'4.1. ANEXOS Energía'!E62</f>
        <v>33560.381035781204</v>
      </c>
      <c r="H67" s="5" t="s">
        <v>804</v>
      </c>
      <c r="I67" s="57" t="s">
        <v>805</v>
      </c>
      <c r="J67" s="5">
        <f>'1.3. Factores de emisión'!E129</f>
        <v>5</v>
      </c>
      <c r="K67" s="5">
        <v>0</v>
      </c>
      <c r="L67" s="5">
        <f>'1.3. Factores de emisión'!G129</f>
        <v>0.1</v>
      </c>
      <c r="M67" s="5">
        <f>'1.3. Factores de emisión'!F129</f>
        <v>54600</v>
      </c>
      <c r="N67" s="121">
        <f>(J67*G67*'1.3. Factores de emisión'!$E$162)/1000</f>
        <v>3523.8400087570262</v>
      </c>
      <c r="O67" s="121">
        <f t="shared" si="6"/>
        <v>0</v>
      </c>
      <c r="P67" s="121">
        <f>(G67*L67*'1.3. Factores de emisión'!$E$163)/1000</f>
        <v>1040.3718121092174</v>
      </c>
      <c r="Q67" s="83">
        <f t="shared" si="7"/>
        <v>4564.2118208662432</v>
      </c>
      <c r="R67" s="83">
        <f>(G67*M67*1)/1000</f>
        <v>1832396.8045536538</v>
      </c>
      <c r="S67" s="84" t="s">
        <v>793</v>
      </c>
      <c r="T67" s="84" t="s">
        <v>858</v>
      </c>
      <c r="U67" s="84" t="s">
        <v>845</v>
      </c>
      <c r="V67" s="84" t="s">
        <v>796</v>
      </c>
    </row>
    <row r="68" spans="2:22" ht="19.5" thickBot="1">
      <c r="C68" s="64"/>
      <c r="M68" s="69" t="s">
        <v>810</v>
      </c>
      <c r="N68" s="82">
        <f>SUM(N59:N67)</f>
        <v>5382.7154121718322</v>
      </c>
      <c r="O68" s="82">
        <f>SUM(O59:O67)</f>
        <v>96198.349054503342</v>
      </c>
      <c r="P68" s="82">
        <f>SUM(P59:P67)</f>
        <v>1249.8215598314273</v>
      </c>
      <c r="Q68" s="95">
        <f>SUM(Q59:Q67)</f>
        <v>102830.88602650662</v>
      </c>
      <c r="R68" s="82">
        <f>SUM(R57:R67)</f>
        <v>1846597.3472736538</v>
      </c>
    </row>
    <row r="69" spans="2:22">
      <c r="B69" s="60" t="s">
        <v>811</v>
      </c>
    </row>
    <row r="70" spans="2:22" ht="16.5" thickBot="1"/>
    <row r="71" spans="2:22" ht="16.5" thickBot="1">
      <c r="B71" s="337" t="s">
        <v>764</v>
      </c>
      <c r="C71" s="338"/>
      <c r="D71" s="338"/>
      <c r="E71" s="339"/>
      <c r="F71" s="333" t="s">
        <v>765</v>
      </c>
      <c r="G71" s="308" t="s">
        <v>766</v>
      </c>
      <c r="H71" s="310"/>
      <c r="I71" s="308" t="s">
        <v>767</v>
      </c>
      <c r="J71" s="309"/>
      <c r="K71" s="309"/>
      <c r="L71" s="309"/>
      <c r="M71" s="310"/>
      <c r="N71" s="308" t="s">
        <v>768</v>
      </c>
      <c r="O71" s="309"/>
      <c r="P71" s="309"/>
      <c r="Q71" s="309"/>
      <c r="R71" s="310"/>
      <c r="S71" s="333" t="s">
        <v>769</v>
      </c>
      <c r="T71" s="333" t="s">
        <v>770</v>
      </c>
      <c r="U71" s="335" t="s">
        <v>771</v>
      </c>
      <c r="V71" s="266" t="s">
        <v>772</v>
      </c>
    </row>
    <row r="72" spans="2:22" ht="16.5" thickBot="1">
      <c r="B72" s="51" t="s">
        <v>773</v>
      </c>
      <c r="C72" s="51" t="s">
        <v>774</v>
      </c>
      <c r="D72" s="51" t="s">
        <v>775</v>
      </c>
      <c r="E72" s="51" t="s">
        <v>24</v>
      </c>
      <c r="F72" s="334"/>
      <c r="G72" s="51" t="s">
        <v>776</v>
      </c>
      <c r="H72" s="51" t="s">
        <v>256</v>
      </c>
      <c r="I72" s="51" t="s">
        <v>777</v>
      </c>
      <c r="J72" s="51" t="s">
        <v>259</v>
      </c>
      <c r="K72" s="51" t="s">
        <v>778</v>
      </c>
      <c r="L72" s="51" t="s">
        <v>261</v>
      </c>
      <c r="M72" s="51" t="s">
        <v>779</v>
      </c>
      <c r="N72" s="51" t="s">
        <v>259</v>
      </c>
      <c r="O72" s="51" t="s">
        <v>778</v>
      </c>
      <c r="P72" s="51" t="s">
        <v>261</v>
      </c>
      <c r="Q72" s="51" t="s">
        <v>780</v>
      </c>
      <c r="R72" s="51" t="s">
        <v>779</v>
      </c>
      <c r="S72" s="334"/>
      <c r="T72" s="334"/>
      <c r="U72" s="336"/>
      <c r="V72" s="266"/>
    </row>
    <row r="73" spans="2:22" ht="89.25" customHeight="1" thickBot="1">
      <c r="B73" s="58">
        <v>2</v>
      </c>
      <c r="C73" s="57" t="s">
        <v>812</v>
      </c>
      <c r="D73" s="80" t="s">
        <v>813</v>
      </c>
      <c r="E73" s="80" t="s">
        <v>859</v>
      </c>
      <c r="F73" s="5"/>
      <c r="G73" s="81">
        <f>'4.1. ANEXOS Energía'!C92</f>
        <v>149900966</v>
      </c>
      <c r="H73" s="5" t="str">
        <f>H51</f>
        <v>kWh</v>
      </c>
      <c r="I73" s="5" t="str">
        <f>I51</f>
        <v>Kg CO2 e / kWh</v>
      </c>
      <c r="J73" s="5"/>
      <c r="K73" s="5">
        <f>K51</f>
        <v>0.04</v>
      </c>
      <c r="L73" s="5"/>
      <c r="M73" s="5"/>
      <c r="N73" s="5"/>
      <c r="O73" s="83">
        <f>G73*K73*1/1000</f>
        <v>5996.0386399999998</v>
      </c>
      <c r="P73" s="5"/>
      <c r="Q73" s="83">
        <f>SUM(N73:P73)</f>
        <v>5996.0386399999998</v>
      </c>
      <c r="R73" s="5"/>
      <c r="S73" s="84" t="s">
        <v>793</v>
      </c>
      <c r="T73" s="84" t="s">
        <v>816</v>
      </c>
      <c r="U73" s="84" t="s">
        <v>193</v>
      </c>
      <c r="V73" s="84" t="s">
        <v>817</v>
      </c>
    </row>
    <row r="74" spans="2:22" ht="89.25" customHeight="1" thickBot="1">
      <c r="B74" s="58">
        <v>2</v>
      </c>
      <c r="C74" s="57" t="s">
        <v>812</v>
      </c>
      <c r="D74" s="80" t="s">
        <v>860</v>
      </c>
      <c r="E74" s="80" t="s">
        <v>861</v>
      </c>
      <c r="F74" s="5"/>
      <c r="G74" s="81">
        <f>'4.1. ANEXOS Energía'!C107</f>
        <v>94448904</v>
      </c>
      <c r="H74" s="5" t="str">
        <f>H73</f>
        <v>kWh</v>
      </c>
      <c r="I74" s="5" t="str">
        <f>I73</f>
        <v>Kg CO2 e / kWh</v>
      </c>
      <c r="J74" s="5"/>
      <c r="K74" s="5">
        <f>'1.3. Factores de emisión'!F29</f>
        <v>0.04</v>
      </c>
      <c r="L74" s="5"/>
      <c r="M74" s="5"/>
      <c r="N74" s="5"/>
      <c r="O74" s="83">
        <f>G74*K74*1/1000</f>
        <v>3777.9561600000002</v>
      </c>
      <c r="P74" s="5"/>
      <c r="Q74" s="83">
        <f>SUM(N74:P74)</f>
        <v>3777.9561600000002</v>
      </c>
      <c r="R74" s="5"/>
      <c r="S74" s="84" t="s">
        <v>793</v>
      </c>
      <c r="T74" s="84" t="s">
        <v>862</v>
      </c>
      <c r="U74" s="84" t="s">
        <v>845</v>
      </c>
      <c r="V74" s="84" t="s">
        <v>796</v>
      </c>
    </row>
    <row r="75" spans="2:22" ht="19.5" thickBot="1">
      <c r="C75" s="64"/>
      <c r="M75" s="69" t="s">
        <v>810</v>
      </c>
      <c r="N75" s="82">
        <f>SUM(N73:N74)</f>
        <v>0</v>
      </c>
      <c r="O75" s="82">
        <f>SUM(O73:O74)</f>
        <v>9773.9948000000004</v>
      </c>
      <c r="P75" s="82">
        <f>SUM(P73:P74)</f>
        <v>0</v>
      </c>
      <c r="Q75" s="95">
        <f>SUM(Q73:Q74)</f>
        <v>9773.9948000000004</v>
      </c>
      <c r="R75" s="82">
        <f>SUM(R73:R73)</f>
        <v>0</v>
      </c>
    </row>
    <row r="76" spans="2:22">
      <c r="B76" s="60" t="s">
        <v>811</v>
      </c>
    </row>
    <row r="77" spans="2:22" ht="16.5" thickBot="1"/>
    <row r="78" spans="2:22" ht="16.5" thickBot="1">
      <c r="B78" s="337" t="s">
        <v>764</v>
      </c>
      <c r="C78" s="338"/>
      <c r="D78" s="338"/>
      <c r="E78" s="339"/>
      <c r="F78" s="333" t="s">
        <v>765</v>
      </c>
      <c r="G78" s="308" t="s">
        <v>766</v>
      </c>
      <c r="H78" s="310"/>
      <c r="I78" s="308" t="s">
        <v>767</v>
      </c>
      <c r="J78" s="309"/>
      <c r="K78" s="309"/>
      <c r="L78" s="309"/>
      <c r="M78" s="310"/>
      <c r="N78" s="308" t="s">
        <v>768</v>
      </c>
      <c r="O78" s="309"/>
      <c r="P78" s="309"/>
      <c r="Q78" s="309"/>
      <c r="R78" s="310"/>
      <c r="S78" s="333" t="s">
        <v>769</v>
      </c>
      <c r="T78" s="333" t="s">
        <v>770</v>
      </c>
      <c r="U78" s="335" t="s">
        <v>771</v>
      </c>
      <c r="V78" s="266" t="s">
        <v>772</v>
      </c>
    </row>
    <row r="79" spans="2:22" ht="16.5" thickBot="1">
      <c r="B79" s="51" t="s">
        <v>773</v>
      </c>
      <c r="C79" s="51" t="s">
        <v>774</v>
      </c>
      <c r="D79" s="51" t="s">
        <v>775</v>
      </c>
      <c r="E79" s="51" t="s">
        <v>24</v>
      </c>
      <c r="F79" s="334"/>
      <c r="G79" s="51" t="s">
        <v>776</v>
      </c>
      <c r="H79" s="51" t="s">
        <v>256</v>
      </c>
      <c r="I79" s="51" t="s">
        <v>777</v>
      </c>
      <c r="J79" s="51" t="s">
        <v>259</v>
      </c>
      <c r="K79" s="51" t="s">
        <v>778</v>
      </c>
      <c r="L79" s="51" t="s">
        <v>261</v>
      </c>
      <c r="M79" s="51" t="s">
        <v>779</v>
      </c>
      <c r="N79" s="51" t="s">
        <v>259</v>
      </c>
      <c r="O79" s="51" t="s">
        <v>778</v>
      </c>
      <c r="P79" s="51" t="s">
        <v>261</v>
      </c>
      <c r="Q79" s="51" t="s">
        <v>780</v>
      </c>
      <c r="R79" s="51" t="s">
        <v>779</v>
      </c>
      <c r="S79" s="334"/>
      <c r="T79" s="334"/>
      <c r="U79" s="336"/>
      <c r="V79" s="266"/>
    </row>
    <row r="80" spans="2:22" ht="86.25" customHeight="1" thickBot="1">
      <c r="B80" s="59">
        <v>3</v>
      </c>
      <c r="C80" s="57" t="s">
        <v>818</v>
      </c>
      <c r="D80" s="80" t="s">
        <v>819</v>
      </c>
      <c r="E80" s="80" t="s">
        <v>863</v>
      </c>
      <c r="F80" s="5"/>
      <c r="G80" s="81">
        <f>'4.1. ANEXOS Energía'!E119</f>
        <v>14915146.117000001</v>
      </c>
      <c r="H80" s="5" t="str">
        <f>H73</f>
        <v>kWh</v>
      </c>
      <c r="I80" s="5" t="str">
        <f>I73</f>
        <v>Kg CO2 e / kWh</v>
      </c>
      <c r="J80" s="5"/>
      <c r="K80" s="5">
        <f>K73</f>
        <v>0.04</v>
      </c>
      <c r="L80" s="5"/>
      <c r="M80" s="5"/>
      <c r="N80" s="5"/>
      <c r="O80" s="83">
        <f>G80*K80*1/1000</f>
        <v>596.60584468000002</v>
      </c>
      <c r="P80" s="5"/>
      <c r="Q80" s="83">
        <f>SUM(N80:P80)</f>
        <v>596.60584468000002</v>
      </c>
      <c r="R80" s="5"/>
      <c r="S80" s="84" t="s">
        <v>793</v>
      </c>
      <c r="T80" s="84" t="s">
        <v>821</v>
      </c>
      <c r="U80" s="84" t="s">
        <v>193</v>
      </c>
      <c r="V80" s="84" t="s">
        <v>817</v>
      </c>
    </row>
    <row r="81" spans="2:22" ht="86.25" customHeight="1" thickBot="1">
      <c r="B81" s="59">
        <v>3</v>
      </c>
      <c r="C81" s="57" t="s">
        <v>818</v>
      </c>
      <c r="D81" s="80" t="s">
        <v>864</v>
      </c>
      <c r="E81" s="80" t="s">
        <v>863</v>
      </c>
      <c r="F81" s="5"/>
      <c r="G81" s="81">
        <f>'4.1. ANEXOS Energía'!E138</f>
        <v>7461463.4160000002</v>
      </c>
      <c r="H81" s="5" t="str">
        <f>H74</f>
        <v>kWh</v>
      </c>
      <c r="I81" s="5" t="str">
        <f>I74</f>
        <v>Kg CO2 e / kWh</v>
      </c>
      <c r="J81" s="5"/>
      <c r="K81" s="5">
        <f>K74</f>
        <v>0.04</v>
      </c>
      <c r="L81" s="5"/>
      <c r="M81" s="5"/>
      <c r="N81" s="5"/>
      <c r="O81" s="83">
        <f>G81*K81*1/1000</f>
        <v>298.45853664000003</v>
      </c>
      <c r="P81" s="5"/>
      <c r="Q81" s="83">
        <f>SUM(N81:P81)</f>
        <v>298.45853664000003</v>
      </c>
      <c r="R81" s="5"/>
      <c r="S81" s="84" t="s">
        <v>793</v>
      </c>
      <c r="T81" s="84" t="s">
        <v>865</v>
      </c>
      <c r="U81" s="84" t="s">
        <v>247</v>
      </c>
      <c r="V81" s="84" t="s">
        <v>817</v>
      </c>
    </row>
    <row r="82" spans="2:22" ht="19.5" thickBot="1">
      <c r="C82" s="64"/>
      <c r="M82" s="69" t="s">
        <v>810</v>
      </c>
      <c r="N82" s="82">
        <f t="shared" ref="N82:O82" si="8">SUM(N80:N81)</f>
        <v>0</v>
      </c>
      <c r="O82" s="82">
        <f t="shared" si="8"/>
        <v>895.06438132000005</v>
      </c>
      <c r="P82" s="82">
        <f>SUM(P80:P81)</f>
        <v>0</v>
      </c>
      <c r="Q82" s="95">
        <f>SUM(Q80:Q81)</f>
        <v>895.06438132000005</v>
      </c>
      <c r="R82" s="82">
        <f>SUM(R78:R80)</f>
        <v>0</v>
      </c>
    </row>
    <row r="83" spans="2:22">
      <c r="B83" s="60" t="s">
        <v>811</v>
      </c>
    </row>
    <row r="84" spans="2:22">
      <c r="B84" s="60"/>
    </row>
    <row r="85" spans="2:22">
      <c r="B85" s="60"/>
    </row>
    <row r="88" spans="2:22">
      <c r="B88" s="341" t="s">
        <v>866</v>
      </c>
      <c r="C88" s="341"/>
    </row>
    <row r="89" spans="2:22" ht="16.5" thickBot="1"/>
    <row r="90" spans="2:22" ht="16.5" thickBot="1">
      <c r="B90" s="266" t="s">
        <v>764</v>
      </c>
      <c r="C90" s="266"/>
      <c r="D90" s="266"/>
      <c r="E90" s="266"/>
      <c r="F90" s="340" t="s">
        <v>765</v>
      </c>
      <c r="G90" s="266" t="s">
        <v>766</v>
      </c>
      <c r="H90" s="266"/>
      <c r="I90" s="308" t="s">
        <v>767</v>
      </c>
      <c r="J90" s="309"/>
      <c r="K90" s="309"/>
      <c r="L90" s="309"/>
      <c r="M90" s="310"/>
      <c r="N90" s="308" t="s">
        <v>768</v>
      </c>
      <c r="O90" s="309"/>
      <c r="P90" s="309"/>
      <c r="Q90" s="309"/>
      <c r="R90" s="310"/>
      <c r="S90" s="340" t="s">
        <v>769</v>
      </c>
      <c r="T90" s="340" t="s">
        <v>770</v>
      </c>
      <c r="U90" s="266" t="s">
        <v>771</v>
      </c>
      <c r="V90" s="266" t="s">
        <v>772</v>
      </c>
    </row>
    <row r="91" spans="2:22" ht="16.5" thickBot="1">
      <c r="B91" s="51" t="s">
        <v>773</v>
      </c>
      <c r="C91" s="51" t="s">
        <v>774</v>
      </c>
      <c r="D91" s="51" t="s">
        <v>775</v>
      </c>
      <c r="E91" s="51" t="s">
        <v>24</v>
      </c>
      <c r="F91" s="340"/>
      <c r="G91" s="51" t="s">
        <v>776</v>
      </c>
      <c r="H91" s="51" t="s">
        <v>256</v>
      </c>
      <c r="I91" s="51" t="s">
        <v>777</v>
      </c>
      <c r="J91" s="51" t="s">
        <v>259</v>
      </c>
      <c r="K91" s="51" t="s">
        <v>778</v>
      </c>
      <c r="L91" s="51" t="s">
        <v>261</v>
      </c>
      <c r="M91" s="51" t="s">
        <v>779</v>
      </c>
      <c r="N91" s="51" t="s">
        <v>259</v>
      </c>
      <c r="O91" s="51" t="s">
        <v>778</v>
      </c>
      <c r="P91" s="51" t="s">
        <v>261</v>
      </c>
      <c r="Q91" s="51" t="s">
        <v>780</v>
      </c>
      <c r="R91" s="51" t="s">
        <v>779</v>
      </c>
      <c r="S91" s="340"/>
      <c r="T91" s="340"/>
      <c r="U91" s="266"/>
      <c r="V91" s="266"/>
    </row>
    <row r="92" spans="2:22" ht="71.25" customHeight="1" thickBot="1">
      <c r="B92" s="58">
        <v>1</v>
      </c>
      <c r="C92" s="57" t="s">
        <v>781</v>
      </c>
      <c r="D92" s="57" t="s">
        <v>867</v>
      </c>
      <c r="E92" s="5" t="s">
        <v>868</v>
      </c>
      <c r="F92" s="84" t="s">
        <v>869</v>
      </c>
      <c r="G92" s="5"/>
      <c r="H92" s="5"/>
      <c r="I92" s="5"/>
      <c r="J92" s="5"/>
      <c r="K92" s="5"/>
      <c r="L92" s="5"/>
      <c r="M92" s="5"/>
      <c r="N92" s="5"/>
      <c r="O92" s="5"/>
      <c r="P92" s="5"/>
      <c r="Q92" s="5"/>
      <c r="R92" s="5"/>
      <c r="S92" s="5"/>
      <c r="T92" s="84" t="s">
        <v>870</v>
      </c>
      <c r="U92" s="5"/>
      <c r="V92" s="205" t="s">
        <v>871</v>
      </c>
    </row>
    <row r="93" spans="2:22" ht="19.5" thickBot="1">
      <c r="C93" s="64"/>
      <c r="M93" s="69" t="s">
        <v>810</v>
      </c>
      <c r="N93" s="82">
        <f>SUM(N89:N92)</f>
        <v>0</v>
      </c>
      <c r="O93" s="82">
        <f>SUM(O91:O92)</f>
        <v>0</v>
      </c>
      <c r="P93" s="82">
        <f>SUM(P89:P92)</f>
        <v>0</v>
      </c>
      <c r="Q93" s="95">
        <f>SUM(Q91:Q92)</f>
        <v>0</v>
      </c>
      <c r="R93" s="82">
        <f>SUM(R89:R92)</f>
        <v>0</v>
      </c>
    </row>
    <row r="94" spans="2:22">
      <c r="B94" s="60" t="s">
        <v>811</v>
      </c>
    </row>
    <row r="95" spans="2:22" ht="16.5" thickBot="1"/>
    <row r="96" spans="2:22" ht="16.5" thickBot="1">
      <c r="B96" s="337" t="s">
        <v>764</v>
      </c>
      <c r="C96" s="338"/>
      <c r="D96" s="338"/>
      <c r="E96" s="339"/>
      <c r="F96" s="333" t="s">
        <v>765</v>
      </c>
      <c r="G96" s="308" t="s">
        <v>766</v>
      </c>
      <c r="H96" s="310"/>
      <c r="I96" s="308" t="s">
        <v>767</v>
      </c>
      <c r="J96" s="309"/>
      <c r="K96" s="309"/>
      <c r="L96" s="309"/>
      <c r="M96" s="310"/>
      <c r="N96" s="308" t="s">
        <v>768</v>
      </c>
      <c r="O96" s="309"/>
      <c r="P96" s="309"/>
      <c r="Q96" s="309"/>
      <c r="R96" s="310"/>
      <c r="S96" s="333" t="s">
        <v>769</v>
      </c>
      <c r="T96" s="333" t="s">
        <v>770</v>
      </c>
      <c r="U96" s="335" t="s">
        <v>771</v>
      </c>
      <c r="V96" s="266" t="s">
        <v>772</v>
      </c>
    </row>
    <row r="97" spans="2:22" ht="16.5" thickBot="1">
      <c r="B97" s="51" t="s">
        <v>773</v>
      </c>
      <c r="C97" s="51" t="s">
        <v>774</v>
      </c>
      <c r="D97" s="51" t="s">
        <v>775</v>
      </c>
      <c r="E97" s="51" t="s">
        <v>24</v>
      </c>
      <c r="F97" s="334"/>
      <c r="G97" s="51" t="s">
        <v>776</v>
      </c>
      <c r="H97" s="51" t="s">
        <v>256</v>
      </c>
      <c r="I97" s="51" t="s">
        <v>777</v>
      </c>
      <c r="J97" s="51" t="s">
        <v>259</v>
      </c>
      <c r="K97" s="51" t="s">
        <v>778</v>
      </c>
      <c r="L97" s="51" t="s">
        <v>261</v>
      </c>
      <c r="M97" s="51" t="s">
        <v>779</v>
      </c>
      <c r="N97" s="51" t="s">
        <v>259</v>
      </c>
      <c r="O97" s="51" t="s">
        <v>778</v>
      </c>
      <c r="P97" s="51" t="s">
        <v>261</v>
      </c>
      <c r="Q97" s="51" t="s">
        <v>780</v>
      </c>
      <c r="R97" s="51" t="s">
        <v>779</v>
      </c>
      <c r="S97" s="334"/>
      <c r="T97" s="334"/>
      <c r="U97" s="336"/>
      <c r="V97" s="266"/>
    </row>
    <row r="98" spans="2:22" ht="60" customHeight="1" thickBot="1">
      <c r="B98" s="58">
        <v>2</v>
      </c>
      <c r="C98" s="57" t="s">
        <v>812</v>
      </c>
      <c r="D98" s="57" t="s">
        <v>872</v>
      </c>
      <c r="E98" s="57" t="s">
        <v>872</v>
      </c>
      <c r="F98" s="84" t="s">
        <v>869</v>
      </c>
      <c r="G98" s="5"/>
      <c r="H98" s="5"/>
      <c r="I98" s="5"/>
      <c r="J98" s="5"/>
      <c r="K98" s="5"/>
      <c r="L98" s="5"/>
      <c r="M98" s="5"/>
      <c r="N98" s="5"/>
      <c r="O98" s="5"/>
      <c r="P98" s="5"/>
      <c r="Q98" s="5"/>
      <c r="R98" s="5"/>
      <c r="S98" s="5"/>
      <c r="T98" s="84" t="s">
        <v>870</v>
      </c>
      <c r="U98" s="5"/>
      <c r="V98" s="205" t="s">
        <v>871</v>
      </c>
    </row>
    <row r="99" spans="2:22" ht="19.5" thickBot="1">
      <c r="C99" s="64"/>
      <c r="M99" s="69" t="s">
        <v>810</v>
      </c>
      <c r="N99" s="82">
        <f>SUM(N94:N98)</f>
        <v>0</v>
      </c>
      <c r="O99" s="82">
        <f>SUM(O96:O98)</f>
        <v>0</v>
      </c>
      <c r="P99" s="82">
        <f>SUM(P94:P98)</f>
        <v>0</v>
      </c>
      <c r="Q99" s="95">
        <f>SUM(Q96:Q98)</f>
        <v>0</v>
      </c>
      <c r="R99" s="82">
        <f>SUM(R94:R98)</f>
        <v>0</v>
      </c>
    </row>
    <row r="100" spans="2:22">
      <c r="B100" s="60" t="s">
        <v>811</v>
      </c>
    </row>
    <row r="101" spans="2:22" ht="16.5" thickBot="1"/>
    <row r="102" spans="2:22" ht="16.5" thickBot="1">
      <c r="B102" s="337" t="s">
        <v>764</v>
      </c>
      <c r="C102" s="338"/>
      <c r="D102" s="338"/>
      <c r="E102" s="339"/>
      <c r="F102" s="333" t="s">
        <v>765</v>
      </c>
      <c r="G102" s="308" t="s">
        <v>766</v>
      </c>
      <c r="H102" s="310"/>
      <c r="I102" s="308" t="s">
        <v>767</v>
      </c>
      <c r="J102" s="309"/>
      <c r="K102" s="309"/>
      <c r="L102" s="309"/>
      <c r="M102" s="310"/>
      <c r="N102" s="308" t="s">
        <v>768</v>
      </c>
      <c r="O102" s="309"/>
      <c r="P102" s="309"/>
      <c r="Q102" s="309"/>
      <c r="R102" s="310"/>
      <c r="S102" s="333" t="s">
        <v>769</v>
      </c>
      <c r="T102" s="333" t="s">
        <v>770</v>
      </c>
      <c r="U102" s="335" t="s">
        <v>771</v>
      </c>
      <c r="V102" s="266" t="s">
        <v>772</v>
      </c>
    </row>
    <row r="103" spans="2:22" ht="16.5" thickBot="1">
      <c r="B103" s="51" t="s">
        <v>773</v>
      </c>
      <c r="C103" s="51" t="s">
        <v>774</v>
      </c>
      <c r="D103" s="51" t="s">
        <v>775</v>
      </c>
      <c r="E103" s="51" t="s">
        <v>24</v>
      </c>
      <c r="F103" s="334"/>
      <c r="G103" s="51" t="s">
        <v>776</v>
      </c>
      <c r="H103" s="51" t="s">
        <v>256</v>
      </c>
      <c r="I103" s="51" t="s">
        <v>777</v>
      </c>
      <c r="J103" s="51" t="s">
        <v>259</v>
      </c>
      <c r="K103" s="51" t="s">
        <v>778</v>
      </c>
      <c r="L103" s="51" t="s">
        <v>261</v>
      </c>
      <c r="M103" s="51" t="s">
        <v>779</v>
      </c>
      <c r="N103" s="51" t="s">
        <v>259</v>
      </c>
      <c r="O103" s="51" t="s">
        <v>778</v>
      </c>
      <c r="P103" s="51" t="s">
        <v>261</v>
      </c>
      <c r="Q103" s="51" t="s">
        <v>780</v>
      </c>
      <c r="R103" s="51" t="s">
        <v>779</v>
      </c>
      <c r="S103" s="334"/>
      <c r="T103" s="334"/>
      <c r="U103" s="336"/>
      <c r="V103" s="266"/>
    </row>
    <row r="104" spans="2:22" ht="68.25" customHeight="1" thickBot="1">
      <c r="B104" s="59">
        <v>3</v>
      </c>
      <c r="C104" s="57" t="s">
        <v>818</v>
      </c>
      <c r="D104" s="57" t="s">
        <v>867</v>
      </c>
      <c r="E104" s="5" t="s">
        <v>868</v>
      </c>
      <c r="F104" s="84" t="s">
        <v>869</v>
      </c>
      <c r="G104" s="5"/>
      <c r="H104" s="5"/>
      <c r="I104" s="5"/>
      <c r="J104" s="5"/>
      <c r="K104" s="5"/>
      <c r="L104" s="5"/>
      <c r="M104" s="5"/>
      <c r="N104" s="5"/>
      <c r="O104" s="5"/>
      <c r="P104" s="5"/>
      <c r="Q104" s="5"/>
      <c r="R104" s="5"/>
      <c r="S104" s="5"/>
      <c r="T104" s="84" t="s">
        <v>870</v>
      </c>
      <c r="U104" s="5"/>
      <c r="V104" s="205" t="s">
        <v>871</v>
      </c>
    </row>
    <row r="105" spans="2:22" ht="19.5" thickBot="1">
      <c r="C105" s="64"/>
      <c r="M105" s="69" t="s">
        <v>810</v>
      </c>
      <c r="N105" s="82">
        <f>SUM(N100:N104)</f>
        <v>0</v>
      </c>
      <c r="O105" s="82">
        <f>SUM(O102:O104)</f>
        <v>0</v>
      </c>
      <c r="P105" s="82">
        <f>SUM(P100:P104)</f>
        <v>0</v>
      </c>
      <c r="Q105" s="95">
        <f>SUM(Q102:Q104)</f>
        <v>0</v>
      </c>
      <c r="R105" s="82">
        <f>SUM(R100:R104)</f>
        <v>0</v>
      </c>
    </row>
    <row r="106" spans="2:22">
      <c r="B106" s="60" t="s">
        <v>811</v>
      </c>
    </row>
    <row r="109" spans="2:22">
      <c r="B109" s="341" t="s">
        <v>873</v>
      </c>
      <c r="C109" s="341"/>
      <c r="D109" s="341"/>
    </row>
    <row r="110" spans="2:22" ht="16.5" thickBot="1"/>
    <row r="111" spans="2:22" ht="16.5" thickBot="1">
      <c r="B111" s="266" t="s">
        <v>764</v>
      </c>
      <c r="C111" s="266"/>
      <c r="D111" s="266"/>
      <c r="E111" s="266"/>
      <c r="F111" s="340" t="s">
        <v>765</v>
      </c>
      <c r="G111" s="266" t="s">
        <v>766</v>
      </c>
      <c r="H111" s="266"/>
      <c r="I111" s="308" t="s">
        <v>767</v>
      </c>
      <c r="J111" s="309"/>
      <c r="K111" s="309"/>
      <c r="L111" s="309"/>
      <c r="M111" s="310"/>
      <c r="N111" s="308" t="s">
        <v>768</v>
      </c>
      <c r="O111" s="309"/>
      <c r="P111" s="309"/>
      <c r="Q111" s="309"/>
      <c r="R111" s="310"/>
      <c r="S111" s="340" t="s">
        <v>769</v>
      </c>
      <c r="T111" s="340" t="s">
        <v>770</v>
      </c>
      <c r="U111" s="266" t="s">
        <v>771</v>
      </c>
      <c r="V111" s="266" t="s">
        <v>772</v>
      </c>
    </row>
    <row r="112" spans="2:22" ht="16.5" thickBot="1">
      <c r="B112" s="51" t="s">
        <v>773</v>
      </c>
      <c r="C112" s="51" t="s">
        <v>774</v>
      </c>
      <c r="D112" s="51" t="s">
        <v>775</v>
      </c>
      <c r="E112" s="51" t="s">
        <v>24</v>
      </c>
      <c r="F112" s="340"/>
      <c r="G112" s="51" t="s">
        <v>776</v>
      </c>
      <c r="H112" s="51" t="s">
        <v>256</v>
      </c>
      <c r="I112" s="51" t="s">
        <v>777</v>
      </c>
      <c r="J112" s="51" t="s">
        <v>259</v>
      </c>
      <c r="K112" s="51" t="s">
        <v>778</v>
      </c>
      <c r="L112" s="51" t="s">
        <v>261</v>
      </c>
      <c r="M112" s="51" t="s">
        <v>779</v>
      </c>
      <c r="N112" s="51" t="s">
        <v>259</v>
      </c>
      <c r="O112" s="51" t="s">
        <v>778</v>
      </c>
      <c r="P112" s="51" t="s">
        <v>261</v>
      </c>
      <c r="Q112" s="51" t="s">
        <v>780</v>
      </c>
      <c r="R112" s="51" t="s">
        <v>779</v>
      </c>
      <c r="S112" s="340"/>
      <c r="T112" s="340"/>
      <c r="U112" s="266"/>
      <c r="V112" s="266"/>
    </row>
    <row r="113" spans="2:22" ht="105.75" customHeight="1" thickBot="1">
      <c r="B113" s="58">
        <v>1</v>
      </c>
      <c r="C113" s="57" t="s">
        <v>781</v>
      </c>
      <c r="D113" s="57" t="s">
        <v>874</v>
      </c>
      <c r="E113" s="57" t="s">
        <v>875</v>
      </c>
      <c r="F113" s="5"/>
      <c r="G113" s="81">
        <f>'4.1. ANEXOS Energía'!D70</f>
        <v>3565.2000000000003</v>
      </c>
      <c r="H113" s="5" t="s">
        <v>792</v>
      </c>
      <c r="I113" s="57" t="s">
        <v>785</v>
      </c>
      <c r="J113" s="5">
        <f>'1.3. Factores de emisión'!E50</f>
        <v>3.4599999999999995E-4</v>
      </c>
      <c r="K113" s="5">
        <f>'1.3. Factores de emisión'!F30</f>
        <v>2.2309999999999999</v>
      </c>
      <c r="L113" s="5">
        <f>'1.3. Factores de emisión'!G50</f>
        <v>2.211E-5</v>
      </c>
      <c r="M113" s="5"/>
      <c r="N113" s="121">
        <f>(J113*G113*'1.3. Factores de emisión'!$E$162)/1000</f>
        <v>2.59047432E-2</v>
      </c>
      <c r="O113" s="121">
        <f t="shared" ref="O113:O114" si="9">(G113*K113*1)/1000</f>
        <v>7.9539612000000002</v>
      </c>
      <c r="P113" s="121">
        <f>(G113*L113*'1.3. Factores de emisión'!$E$163)/1000</f>
        <v>2.4436237320000005E-2</v>
      </c>
      <c r="Q113" s="81">
        <f t="shared" ref="Q113:Q114" si="10">SUM(N113:P113)</f>
        <v>8.0043021805199999</v>
      </c>
      <c r="R113" s="5"/>
      <c r="S113" s="84" t="s">
        <v>793</v>
      </c>
      <c r="T113" s="84" t="s">
        <v>876</v>
      </c>
      <c r="U113" s="84" t="s">
        <v>877</v>
      </c>
      <c r="V113" s="84" t="s">
        <v>796</v>
      </c>
    </row>
    <row r="114" spans="2:22" ht="87.75" customHeight="1" thickBot="1">
      <c r="B114" s="58">
        <v>1</v>
      </c>
      <c r="C114" s="57" t="s">
        <v>781</v>
      </c>
      <c r="D114" s="57" t="s">
        <v>874</v>
      </c>
      <c r="E114" s="57" t="s">
        <v>878</v>
      </c>
      <c r="F114" s="5"/>
      <c r="G114" s="81">
        <f>'4.1. ANEXOS Energía'!C70</f>
        <v>1783.5285889141455</v>
      </c>
      <c r="H114" s="5" t="s">
        <v>792</v>
      </c>
      <c r="I114" s="57" t="s">
        <v>785</v>
      </c>
      <c r="J114" s="5">
        <f>'1.3. Factores de emisión'!E51</f>
        <v>3.8200000000000002E-4</v>
      </c>
      <c r="K114" s="5">
        <f>'1.3. Factores de emisión'!F31</f>
        <v>2.613</v>
      </c>
      <c r="L114" s="5">
        <f>'1.3. Factores de emisión'!G51</f>
        <v>2.442E-5</v>
      </c>
      <c r="M114" s="5"/>
      <c r="N114" s="121">
        <f>(J114*G114*'1.3. Factores de emisión'!$E$162)/1000</f>
        <v>1.4307466340269278E-2</v>
      </c>
      <c r="O114" s="121">
        <f t="shared" si="9"/>
        <v>4.6603602028326625</v>
      </c>
      <c r="P114" s="121">
        <f>(G114*L114*'1.3. Factores de emisión'!$E$163)/1000</f>
        <v>1.3501668123797866E-2</v>
      </c>
      <c r="Q114" s="81">
        <f t="shared" si="10"/>
        <v>4.6881693372967295</v>
      </c>
      <c r="R114" s="5"/>
      <c r="S114" s="84" t="s">
        <v>793</v>
      </c>
      <c r="T114" s="84" t="s">
        <v>879</v>
      </c>
      <c r="U114" s="84" t="s">
        <v>877</v>
      </c>
      <c r="V114" s="84" t="s">
        <v>796</v>
      </c>
    </row>
    <row r="115" spans="2:22" ht="92.25" customHeight="1" thickBot="1">
      <c r="B115" s="58">
        <v>1</v>
      </c>
      <c r="C115" s="57" t="s">
        <v>781</v>
      </c>
      <c r="D115" s="57" t="s">
        <v>874</v>
      </c>
      <c r="E115" s="57" t="s">
        <v>880</v>
      </c>
      <c r="F115" s="5"/>
      <c r="G115" s="81">
        <f>'4.1. ANEXOS Energía'!G70</f>
        <v>46.18185130213579</v>
      </c>
      <c r="H115" s="5" t="s">
        <v>792</v>
      </c>
      <c r="I115" s="57" t="s">
        <v>785</v>
      </c>
      <c r="J115" s="5">
        <f>'1.3. Factores de emisión'!E54</f>
        <v>3.48E-4</v>
      </c>
      <c r="K115" s="5">
        <f>'1.3. Factores de emisión'!F37</f>
        <v>2.5489999999999999</v>
      </c>
      <c r="L115" s="5">
        <f>'1.3. Factores de emisión'!G54</f>
        <v>2.1000000000000002E-5</v>
      </c>
      <c r="M115" s="5"/>
      <c r="N115" s="121">
        <f>(J115*G115*'1.3. Factores de emisión'!$E$162)/1000</f>
        <v>3.3749696931600838E-4</v>
      </c>
      <c r="O115" s="121">
        <f t="shared" ref="O115:O117" si="11">(G115*K115*1)/1000</f>
        <v>0.11771753896914414</v>
      </c>
      <c r="P115" s="121">
        <f>(G115*L115*'1.3. Factores de emisión'!$E$163)/1000</f>
        <v>3.0064385197690403E-4</v>
      </c>
      <c r="Q115" s="83">
        <f t="shared" ref="Q115:Q117" si="12">SUM(N115:P115)</f>
        <v>0.11835567979043705</v>
      </c>
      <c r="R115" s="83"/>
      <c r="S115" s="84" t="s">
        <v>793</v>
      </c>
      <c r="T115" s="84" t="s">
        <v>881</v>
      </c>
      <c r="U115" s="84" t="s">
        <v>877</v>
      </c>
      <c r="V115" s="84" t="s">
        <v>796</v>
      </c>
    </row>
    <row r="116" spans="2:22" ht="99" customHeight="1" thickBot="1">
      <c r="B116" s="58">
        <v>1</v>
      </c>
      <c r="C116" s="57" t="s">
        <v>781</v>
      </c>
      <c r="D116" s="57" t="s">
        <v>874</v>
      </c>
      <c r="E116" s="57" t="s">
        <v>882</v>
      </c>
      <c r="F116" s="5"/>
      <c r="G116" s="81">
        <f>'4.1. ANEXOS Energía'!F75</f>
        <v>0.443664</v>
      </c>
      <c r="H116" s="5" t="s">
        <v>804</v>
      </c>
      <c r="I116" s="57" t="s">
        <v>805</v>
      </c>
      <c r="J116" s="5">
        <f>'1.3. Factores de emisión'!E128</f>
        <v>300</v>
      </c>
      <c r="K116" s="5">
        <v>0</v>
      </c>
      <c r="L116" s="5">
        <f>'1.3. Factores de emisión'!G128</f>
        <v>4</v>
      </c>
      <c r="M116" s="5">
        <f>'1.3. Factores de emisión'!F128</f>
        <v>112000</v>
      </c>
      <c r="N116" s="121">
        <f>(J116*G116*'1.3. Factores de emisión'!$E$162)/1000</f>
        <v>2.7950832000000001</v>
      </c>
      <c r="O116" s="121">
        <f t="shared" si="11"/>
        <v>0</v>
      </c>
      <c r="P116" s="121">
        <f>(G116*L116*'1.3. Factores de emisión'!$E$163)/1000</f>
        <v>0.55014336000000008</v>
      </c>
      <c r="Q116" s="83">
        <f t="shared" si="12"/>
        <v>3.3452265600000004</v>
      </c>
      <c r="R116" s="83">
        <f>(G116*M116*1)/1000</f>
        <v>49.690367999999999</v>
      </c>
      <c r="S116" s="84" t="s">
        <v>793</v>
      </c>
      <c r="T116" s="84" t="s">
        <v>883</v>
      </c>
      <c r="U116" s="84" t="s">
        <v>877</v>
      </c>
      <c r="V116" s="84" t="s">
        <v>796</v>
      </c>
    </row>
    <row r="117" spans="2:22" ht="92.25" customHeight="1" thickBot="1">
      <c r="B117" s="58">
        <v>1</v>
      </c>
      <c r="C117" s="57" t="s">
        <v>781</v>
      </c>
      <c r="D117" s="134" t="s">
        <v>807</v>
      </c>
      <c r="E117" s="57" t="s">
        <v>808</v>
      </c>
      <c r="F117" s="5"/>
      <c r="G117" s="81">
        <f>'4.1. ANEXOS Energía'!E80</f>
        <v>37.324759096154409</v>
      </c>
      <c r="H117" s="5" t="s">
        <v>804</v>
      </c>
      <c r="I117" s="57" t="s">
        <v>805</v>
      </c>
      <c r="J117" s="5">
        <f>'1.3. Factores de emisión'!E129</f>
        <v>5</v>
      </c>
      <c r="K117" s="5">
        <v>0</v>
      </c>
      <c r="L117" s="5">
        <f>'1.3. Factores de emisión'!G129</f>
        <v>0.1</v>
      </c>
      <c r="M117" s="5">
        <f>'1.3. Factores de emisión'!F129</f>
        <v>54600</v>
      </c>
      <c r="N117" s="121">
        <f>(J117*G117*'1.3. Factores de emisión'!$E$162)/1000</f>
        <v>3.9190997050962131</v>
      </c>
      <c r="O117" s="121">
        <f t="shared" si="11"/>
        <v>0</v>
      </c>
      <c r="P117" s="121">
        <f>(G117*L117*'1.3. Factores de emisión'!$E$163)/1000</f>
        <v>1.1570675319807868</v>
      </c>
      <c r="Q117" s="83">
        <f t="shared" si="12"/>
        <v>5.0761672370769997</v>
      </c>
      <c r="R117" s="83">
        <f>(G117*M117*1)/1000</f>
        <v>2037.9318466500306</v>
      </c>
      <c r="S117" s="84" t="s">
        <v>793</v>
      </c>
      <c r="T117" s="84" t="s">
        <v>884</v>
      </c>
      <c r="U117" s="84" t="s">
        <v>877</v>
      </c>
      <c r="V117" s="84" t="s">
        <v>796</v>
      </c>
    </row>
    <row r="118" spans="2:22" ht="19.5" thickBot="1">
      <c r="C118" s="64"/>
      <c r="M118" s="69" t="s">
        <v>810</v>
      </c>
      <c r="N118" s="82">
        <f>SUM(N113:N117)</f>
        <v>6.7547326116057986</v>
      </c>
      <c r="O118" s="82">
        <f t="shared" ref="O118:P118" si="13">SUM(O113:O117)</f>
        <v>12.732038941801806</v>
      </c>
      <c r="P118" s="82">
        <f t="shared" si="13"/>
        <v>1.7454494412765618</v>
      </c>
      <c r="Q118" s="95">
        <f>SUM(Q113:Q117)</f>
        <v>21.23222099468417</v>
      </c>
      <c r="R118" s="82">
        <f>SUM(R113:R117)</f>
        <v>2087.6222146500304</v>
      </c>
    </row>
    <row r="119" spans="2:22">
      <c r="B119" s="60" t="s">
        <v>811</v>
      </c>
    </row>
    <row r="120" spans="2:22" ht="16.5" thickBot="1"/>
    <row r="121" spans="2:22" ht="16.5" thickBot="1">
      <c r="B121" s="337" t="s">
        <v>764</v>
      </c>
      <c r="C121" s="338"/>
      <c r="D121" s="338"/>
      <c r="E121" s="339"/>
      <c r="F121" s="333" t="s">
        <v>765</v>
      </c>
      <c r="G121" s="308" t="s">
        <v>766</v>
      </c>
      <c r="H121" s="310"/>
      <c r="I121" s="308" t="s">
        <v>767</v>
      </c>
      <c r="J121" s="309"/>
      <c r="K121" s="309"/>
      <c r="L121" s="309"/>
      <c r="M121" s="310"/>
      <c r="N121" s="308" t="s">
        <v>768</v>
      </c>
      <c r="O121" s="309"/>
      <c r="P121" s="309"/>
      <c r="Q121" s="309"/>
      <c r="R121" s="310"/>
      <c r="S121" s="333" t="s">
        <v>769</v>
      </c>
      <c r="T121" s="333" t="s">
        <v>770</v>
      </c>
      <c r="U121" s="335" t="s">
        <v>771</v>
      </c>
      <c r="V121" s="266" t="s">
        <v>772</v>
      </c>
    </row>
    <row r="122" spans="2:22" ht="16.5" thickBot="1">
      <c r="B122" s="51" t="s">
        <v>773</v>
      </c>
      <c r="C122" s="51" t="s">
        <v>774</v>
      </c>
      <c r="D122" s="51" t="s">
        <v>775</v>
      </c>
      <c r="E122" s="51" t="s">
        <v>24</v>
      </c>
      <c r="F122" s="334"/>
      <c r="G122" s="51" t="s">
        <v>776</v>
      </c>
      <c r="H122" s="51" t="s">
        <v>256</v>
      </c>
      <c r="I122" s="51" t="s">
        <v>777</v>
      </c>
      <c r="J122" s="51" t="s">
        <v>259</v>
      </c>
      <c r="K122" s="51" t="s">
        <v>778</v>
      </c>
      <c r="L122" s="51" t="s">
        <v>261</v>
      </c>
      <c r="M122" s="51" t="s">
        <v>779</v>
      </c>
      <c r="N122" s="51" t="s">
        <v>259</v>
      </c>
      <c r="O122" s="51" t="s">
        <v>778</v>
      </c>
      <c r="P122" s="51" t="s">
        <v>261</v>
      </c>
      <c r="Q122" s="51" t="s">
        <v>780</v>
      </c>
      <c r="R122" s="51" t="s">
        <v>779</v>
      </c>
      <c r="S122" s="334"/>
      <c r="T122" s="334"/>
      <c r="U122" s="336"/>
      <c r="V122" s="266"/>
    </row>
    <row r="123" spans="2:22" ht="85.5" customHeight="1" thickBot="1">
      <c r="B123" s="58">
        <v>2</v>
      </c>
      <c r="C123" s="57" t="s">
        <v>812</v>
      </c>
      <c r="D123" s="80" t="s">
        <v>813</v>
      </c>
      <c r="E123" s="80" t="s">
        <v>885</v>
      </c>
      <c r="F123" s="5"/>
      <c r="G123" s="81">
        <f>'4.1. ANEXOS Energía'!C100</f>
        <v>56917.541667665901</v>
      </c>
      <c r="H123" s="5" t="s">
        <v>815</v>
      </c>
      <c r="I123" s="5" t="s">
        <v>281</v>
      </c>
      <c r="J123" s="5"/>
      <c r="K123" s="5">
        <f>'1.3. Factores de emisión'!F29</f>
        <v>0.04</v>
      </c>
      <c r="L123" s="5"/>
      <c r="M123" s="5"/>
      <c r="N123" s="5"/>
      <c r="O123" s="83">
        <f>G123*K123*1/1000</f>
        <v>2.2767016667066358</v>
      </c>
      <c r="P123" s="5"/>
      <c r="Q123" s="83">
        <f>SUM(N123:P123)</f>
        <v>2.2767016667066358</v>
      </c>
      <c r="R123" s="5"/>
      <c r="S123" s="84" t="s">
        <v>793</v>
      </c>
      <c r="T123" s="84" t="s">
        <v>886</v>
      </c>
      <c r="U123" s="84" t="s">
        <v>877</v>
      </c>
      <c r="V123" s="84" t="s">
        <v>796</v>
      </c>
    </row>
    <row r="124" spans="2:22" ht="19.5" thickBot="1">
      <c r="C124" s="64"/>
      <c r="M124" s="69" t="s">
        <v>810</v>
      </c>
      <c r="N124" s="82">
        <f>SUM(N123:N123)</f>
        <v>0</v>
      </c>
      <c r="O124" s="82">
        <f>SUM(O123:O123)</f>
        <v>2.2767016667066358</v>
      </c>
      <c r="P124" s="82">
        <f>SUM(P123:P123)</f>
        <v>0</v>
      </c>
      <c r="Q124" s="95">
        <f>SUM(Q123:Q123)</f>
        <v>2.2767016667066358</v>
      </c>
      <c r="R124" s="82">
        <f>SUM(R119:R123)</f>
        <v>0</v>
      </c>
    </row>
    <row r="125" spans="2:22">
      <c r="B125" s="60" t="s">
        <v>811</v>
      </c>
    </row>
    <row r="126" spans="2:22" ht="16.5" thickBot="1"/>
    <row r="127" spans="2:22" ht="16.5" thickBot="1">
      <c r="B127" s="337" t="s">
        <v>764</v>
      </c>
      <c r="C127" s="338"/>
      <c r="D127" s="338"/>
      <c r="E127" s="339"/>
      <c r="F127" s="333" t="s">
        <v>765</v>
      </c>
      <c r="G127" s="308" t="s">
        <v>766</v>
      </c>
      <c r="H127" s="310"/>
      <c r="I127" s="308" t="s">
        <v>767</v>
      </c>
      <c r="J127" s="309"/>
      <c r="K127" s="309"/>
      <c r="L127" s="309"/>
      <c r="M127" s="310"/>
      <c r="N127" s="308" t="s">
        <v>768</v>
      </c>
      <c r="O127" s="309"/>
      <c r="P127" s="309"/>
      <c r="Q127" s="309"/>
      <c r="R127" s="310"/>
      <c r="S127" s="333" t="s">
        <v>769</v>
      </c>
      <c r="T127" s="333" t="s">
        <v>770</v>
      </c>
      <c r="U127" s="335" t="s">
        <v>771</v>
      </c>
      <c r="V127" s="266" t="s">
        <v>772</v>
      </c>
    </row>
    <row r="128" spans="2:22" ht="16.5" thickBot="1">
      <c r="B128" s="51" t="s">
        <v>773</v>
      </c>
      <c r="C128" s="51" t="s">
        <v>774</v>
      </c>
      <c r="D128" s="51" t="s">
        <v>775</v>
      </c>
      <c r="E128" s="51" t="s">
        <v>24</v>
      </c>
      <c r="F128" s="334"/>
      <c r="G128" s="51" t="s">
        <v>776</v>
      </c>
      <c r="H128" s="51" t="s">
        <v>256</v>
      </c>
      <c r="I128" s="51" t="s">
        <v>777</v>
      </c>
      <c r="J128" s="51" t="s">
        <v>259</v>
      </c>
      <c r="K128" s="51" t="s">
        <v>778</v>
      </c>
      <c r="L128" s="51" t="s">
        <v>261</v>
      </c>
      <c r="M128" s="51" t="s">
        <v>779</v>
      </c>
      <c r="N128" s="51" t="s">
        <v>259</v>
      </c>
      <c r="O128" s="51" t="s">
        <v>778</v>
      </c>
      <c r="P128" s="51" t="s">
        <v>261</v>
      </c>
      <c r="Q128" s="51" t="s">
        <v>780</v>
      </c>
      <c r="R128" s="51" t="s">
        <v>779</v>
      </c>
      <c r="S128" s="334"/>
      <c r="T128" s="334"/>
      <c r="U128" s="336"/>
      <c r="V128" s="266"/>
    </row>
    <row r="129" spans="2:22" ht="63.75" thickBot="1">
      <c r="B129" s="59">
        <v>3</v>
      </c>
      <c r="C129" s="57" t="s">
        <v>818</v>
      </c>
      <c r="D129" s="80" t="s">
        <v>819</v>
      </c>
      <c r="E129" s="80" t="s">
        <v>887</v>
      </c>
      <c r="F129" s="5"/>
      <c r="G129" s="81">
        <f>'4.1. ANEXOS Energía'!E128</f>
        <v>5663.2953959327569</v>
      </c>
      <c r="H129" s="5" t="str">
        <f>H123</f>
        <v>kWh</v>
      </c>
      <c r="I129" s="5" t="str">
        <f>I123</f>
        <v>Kg CO2 e / kWh</v>
      </c>
      <c r="J129" s="5"/>
      <c r="K129" s="5">
        <f>K123</f>
        <v>0.04</v>
      </c>
      <c r="L129" s="5"/>
      <c r="M129" s="5"/>
      <c r="N129" s="5"/>
      <c r="O129" s="83">
        <f>G129*K129*1/1000</f>
        <v>0.2265318158373103</v>
      </c>
      <c r="P129" s="5"/>
      <c r="Q129" s="83">
        <f>SUM(N129:P129)</f>
        <v>0.2265318158373103</v>
      </c>
      <c r="R129" s="5"/>
      <c r="S129" s="84" t="s">
        <v>793</v>
      </c>
      <c r="T129" s="84" t="s">
        <v>821</v>
      </c>
      <c r="U129" s="84" t="s">
        <v>193</v>
      </c>
      <c r="V129" s="84" t="s">
        <v>817</v>
      </c>
    </row>
    <row r="130" spans="2:22" ht="19.5" thickBot="1">
      <c r="C130" s="64"/>
      <c r="M130" s="69" t="s">
        <v>810</v>
      </c>
      <c r="N130" s="82">
        <f>SUM(N129:N129)</f>
        <v>0</v>
      </c>
      <c r="O130" s="82">
        <f>SUM(O129:O129)</f>
        <v>0.2265318158373103</v>
      </c>
      <c r="P130" s="82">
        <f>SUM(P129:P129)</f>
        <v>0</v>
      </c>
      <c r="Q130" s="95">
        <f>SUM(Q129:Q129)</f>
        <v>0.2265318158373103</v>
      </c>
      <c r="R130" s="82">
        <f>SUM(R125:R129)</f>
        <v>0</v>
      </c>
    </row>
    <row r="131" spans="2:22">
      <c r="B131" s="60" t="s">
        <v>811</v>
      </c>
    </row>
    <row r="133" spans="2:22" ht="16.5" thickBot="1">
      <c r="B133" s="61" t="s">
        <v>888</v>
      </c>
    </row>
    <row r="134" spans="2:22" ht="16.5" thickBot="1">
      <c r="B134" s="58"/>
      <c r="C134" s="5" t="s">
        <v>889</v>
      </c>
    </row>
    <row r="135" spans="2:22" ht="16.5" thickBot="1">
      <c r="B135" s="59"/>
      <c r="C135" s="5" t="s">
        <v>890</v>
      </c>
    </row>
    <row r="136" spans="2:22" ht="16.5" thickBot="1"/>
    <row r="137" spans="2:22" ht="16.5" thickBot="1">
      <c r="F137" s="308" t="s">
        <v>891</v>
      </c>
      <c r="G137" s="309"/>
      <c r="H137" s="309"/>
      <c r="I137" s="309"/>
      <c r="J137" s="309"/>
      <c r="K137" s="309"/>
      <c r="L137" s="309"/>
      <c r="M137" s="309"/>
      <c r="N137" s="309"/>
      <c r="O137" s="309"/>
      <c r="P137" s="309"/>
      <c r="Q137" s="309"/>
      <c r="R137" s="310"/>
    </row>
    <row r="138" spans="2:22" ht="16.5" thickBot="1">
      <c r="F138" s="313" t="s">
        <v>892</v>
      </c>
      <c r="G138" s="314"/>
      <c r="H138" s="86" t="s">
        <v>893</v>
      </c>
      <c r="I138" s="86" t="s">
        <v>259</v>
      </c>
      <c r="J138" s="86" t="s">
        <v>778</v>
      </c>
      <c r="K138" s="86" t="s">
        <v>261</v>
      </c>
      <c r="L138" s="86" t="s">
        <v>894</v>
      </c>
      <c r="M138" s="86" t="s">
        <v>895</v>
      </c>
      <c r="N138" s="86" t="s">
        <v>896</v>
      </c>
      <c r="O138" s="86" t="s">
        <v>897</v>
      </c>
      <c r="P138" s="86" t="s">
        <v>898</v>
      </c>
      <c r="Q138" s="86" t="s">
        <v>899</v>
      </c>
      <c r="R138" s="86" t="s">
        <v>900</v>
      </c>
    </row>
    <row r="139" spans="2:22" ht="16.5" thickBot="1">
      <c r="F139" s="315" t="s">
        <v>901</v>
      </c>
      <c r="G139" s="316"/>
      <c r="H139" s="87">
        <f>SUM(I139:R139)</f>
        <v>106051.77354453577</v>
      </c>
      <c r="I139" s="88">
        <f>N16+N40+N68+N93+N118</f>
        <v>5803.7609173213414</v>
      </c>
      <c r="J139" s="88">
        <f>O16+O40+O68+O93+O118</f>
        <v>98912.232791978109</v>
      </c>
      <c r="K139" s="88">
        <f>P16+P40+P68+P93+P118</f>
        <v>1335.7798352363175</v>
      </c>
      <c r="L139" s="88"/>
      <c r="M139" s="88"/>
      <c r="N139" s="88"/>
      <c r="O139" s="88"/>
      <c r="P139" s="88"/>
      <c r="Q139" s="88"/>
      <c r="R139" s="88"/>
    </row>
    <row r="140" spans="2:22" ht="16.5" thickBot="1">
      <c r="F140" s="315" t="s">
        <v>902</v>
      </c>
      <c r="G140" s="316"/>
      <c r="H140" s="87">
        <f t="shared" ref="H140:H141" si="14">SUM(I140:R140)</f>
        <v>13651.5613842357</v>
      </c>
      <c r="I140" s="88">
        <f>N22+N46+N75+N99+N124</f>
        <v>0</v>
      </c>
      <c r="J140" s="88">
        <f>O22+O46+O75+O99+O124</f>
        <v>13651.5613842357</v>
      </c>
      <c r="K140" s="88">
        <f>P22+P46+P75+P99+P124</f>
        <v>0</v>
      </c>
      <c r="L140" s="88"/>
      <c r="M140" s="88"/>
      <c r="N140" s="88"/>
      <c r="O140" s="88"/>
      <c r="P140" s="88"/>
      <c r="Q140" s="88"/>
      <c r="R140" s="88"/>
    </row>
    <row r="141" spans="2:22" ht="16.5" thickBot="1">
      <c r="F141" s="315" t="s">
        <v>903</v>
      </c>
      <c r="G141" s="316"/>
      <c r="H141" s="87">
        <f t="shared" si="14"/>
        <v>1281.12304006</v>
      </c>
      <c r="I141" s="88">
        <f>N28+N52+N82+N105+N130</f>
        <v>0</v>
      </c>
      <c r="J141" s="88">
        <f>O28+O52+O82+O105+O130</f>
        <v>1281.12304006</v>
      </c>
      <c r="K141" s="88">
        <f>P28+P52+P82+P105+P130</f>
        <v>0</v>
      </c>
      <c r="L141" s="88"/>
      <c r="M141" s="88"/>
      <c r="N141" s="88"/>
      <c r="O141" s="88"/>
      <c r="P141" s="88"/>
      <c r="Q141" s="88"/>
      <c r="R141" s="88"/>
    </row>
    <row r="142" spans="2:22">
      <c r="F142" s="317" t="s">
        <v>904</v>
      </c>
      <c r="G142" s="318"/>
      <c r="H142" s="319"/>
      <c r="I142" s="323"/>
      <c r="J142" s="324"/>
      <c r="K142" s="324"/>
      <c r="L142" s="324"/>
      <c r="M142" s="324"/>
      <c r="N142" s="324"/>
      <c r="O142" s="324"/>
      <c r="P142" s="324"/>
      <c r="Q142" s="324"/>
      <c r="R142" s="325"/>
    </row>
    <row r="143" spans="2:22" ht="16.5" thickBot="1">
      <c r="F143" s="320"/>
      <c r="G143" s="321"/>
      <c r="H143" s="322"/>
      <c r="I143" s="326"/>
      <c r="J143" s="327"/>
      <c r="K143" s="327"/>
      <c r="L143" s="327"/>
      <c r="M143" s="327"/>
      <c r="N143" s="327"/>
      <c r="O143" s="327"/>
      <c r="P143" s="327"/>
      <c r="Q143" s="327"/>
      <c r="R143" s="328"/>
    </row>
    <row r="144" spans="2:22" ht="16.5" thickBot="1">
      <c r="F144" s="317" t="s">
        <v>905</v>
      </c>
      <c r="G144" s="318"/>
      <c r="H144" s="319"/>
      <c r="I144" s="329" t="s">
        <v>893</v>
      </c>
      <c r="J144" s="331">
        <f>L144+L145</f>
        <v>1856461.1339248857</v>
      </c>
      <c r="K144" s="86" t="s">
        <v>906</v>
      </c>
      <c r="L144" s="89">
        <f>R16+R40+R68+R118</f>
        <v>1856461.1339248857</v>
      </c>
      <c r="M144" s="323"/>
      <c r="N144" s="324"/>
      <c r="O144" s="324"/>
      <c r="P144" s="324"/>
      <c r="Q144" s="324"/>
      <c r="R144" s="325"/>
    </row>
    <row r="145" spans="6:18" ht="16.5" thickBot="1">
      <c r="F145" s="320"/>
      <c r="G145" s="321"/>
      <c r="H145" s="322"/>
      <c r="I145" s="330"/>
      <c r="J145" s="332"/>
      <c r="K145" s="86" t="s">
        <v>907</v>
      </c>
      <c r="L145" s="88">
        <f>R28+R52+R82+R105+R130</f>
        <v>0</v>
      </c>
      <c r="M145" s="326"/>
      <c r="N145" s="327"/>
      <c r="O145" s="327"/>
      <c r="P145" s="327"/>
      <c r="Q145" s="327"/>
      <c r="R145" s="328"/>
    </row>
    <row r="146" spans="6:18" ht="16.5" thickBot="1">
      <c r="F146" s="90"/>
      <c r="G146" s="90"/>
      <c r="H146" s="90"/>
      <c r="I146" s="90"/>
      <c r="J146" s="90"/>
      <c r="K146" s="90"/>
      <c r="L146" s="90"/>
      <c r="M146" s="90"/>
      <c r="N146" s="90"/>
      <c r="O146" s="90"/>
      <c r="P146" s="90"/>
      <c r="Q146" s="90"/>
      <c r="R146" s="90"/>
    </row>
    <row r="147" spans="6:18" ht="16.5" thickBot="1">
      <c r="F147" s="311" t="s">
        <v>908</v>
      </c>
      <c r="G147" s="312"/>
      <c r="H147" s="91">
        <v>0</v>
      </c>
      <c r="I147"/>
      <c r="J147"/>
      <c r="K147" s="90"/>
      <c r="L147" s="90"/>
      <c r="M147" s="90"/>
      <c r="N147" s="90"/>
      <c r="O147" s="90"/>
      <c r="P147" s="90"/>
      <c r="Q147" s="90"/>
      <c r="R147" s="90"/>
    </row>
    <row r="148" spans="6:18" ht="16.5" thickBot="1">
      <c r="F148" s="311" t="s">
        <v>909</v>
      </c>
      <c r="G148" s="312"/>
      <c r="H148" s="91">
        <f>+SUM(H139:H141,H147)</f>
        <v>120984.45796883147</v>
      </c>
      <c r="I148" s="90"/>
      <c r="J148" s="90"/>
      <c r="K148" s="90"/>
      <c r="L148" s="90"/>
      <c r="M148" s="90"/>
      <c r="N148" s="90"/>
      <c r="O148" s="90"/>
      <c r="P148" s="90"/>
      <c r="Q148" s="90"/>
      <c r="R148" s="90"/>
    </row>
    <row r="151" spans="6:18">
      <c r="H151" s="92"/>
    </row>
  </sheetData>
  <mergeCells count="153">
    <mergeCell ref="B127:E127"/>
    <mergeCell ref="F127:F128"/>
    <mergeCell ref="G127:H127"/>
    <mergeCell ref="S127:S128"/>
    <mergeCell ref="T127:T128"/>
    <mergeCell ref="U127:U128"/>
    <mergeCell ref="V127:V128"/>
    <mergeCell ref="U111:U112"/>
    <mergeCell ref="V111:V112"/>
    <mergeCell ref="B121:E121"/>
    <mergeCell ref="F121:F122"/>
    <mergeCell ref="G121:H121"/>
    <mergeCell ref="S121:S122"/>
    <mergeCell ref="T121:T122"/>
    <mergeCell ref="U121:U122"/>
    <mergeCell ref="V121:V122"/>
    <mergeCell ref="I121:M121"/>
    <mergeCell ref="N121:R121"/>
    <mergeCell ref="I127:M127"/>
    <mergeCell ref="N127:R127"/>
    <mergeCell ref="B109:D109"/>
    <mergeCell ref="B111:E111"/>
    <mergeCell ref="F111:F112"/>
    <mergeCell ref="G111:H111"/>
    <mergeCell ref="I111:M111"/>
    <mergeCell ref="N111:R111"/>
    <mergeCell ref="S111:S112"/>
    <mergeCell ref="T111:T112"/>
    <mergeCell ref="B5:C5"/>
    <mergeCell ref="B31:D31"/>
    <mergeCell ref="B88:C88"/>
    <mergeCell ref="T96:T97"/>
    <mergeCell ref="B90:E90"/>
    <mergeCell ref="F90:F91"/>
    <mergeCell ref="G90:H90"/>
    <mergeCell ref="I90:M90"/>
    <mergeCell ref="N90:R90"/>
    <mergeCell ref="S90:S91"/>
    <mergeCell ref="T90:T91"/>
    <mergeCell ref="B43:E43"/>
    <mergeCell ref="F43:F44"/>
    <mergeCell ref="G43:H43"/>
    <mergeCell ref="B55:C55"/>
    <mergeCell ref="S25:S26"/>
    <mergeCell ref="U96:U97"/>
    <mergeCell ref="V96:V97"/>
    <mergeCell ref="B102:E102"/>
    <mergeCell ref="F102:F103"/>
    <mergeCell ref="G102:H102"/>
    <mergeCell ref="S102:S103"/>
    <mergeCell ref="T102:T103"/>
    <mergeCell ref="B96:E96"/>
    <mergeCell ref="F96:F97"/>
    <mergeCell ref="G96:H96"/>
    <mergeCell ref="S96:S97"/>
    <mergeCell ref="V102:V103"/>
    <mergeCell ref="U102:U103"/>
    <mergeCell ref="I96:M96"/>
    <mergeCell ref="N96:R96"/>
    <mergeCell ref="I102:M102"/>
    <mergeCell ref="N102:R102"/>
    <mergeCell ref="T33:T34"/>
    <mergeCell ref="U33:U34"/>
    <mergeCell ref="V33:V34"/>
    <mergeCell ref="U90:U91"/>
    <mergeCell ref="V90:V91"/>
    <mergeCell ref="B49:E49"/>
    <mergeCell ref="F49:F50"/>
    <mergeCell ref="G49:H49"/>
    <mergeCell ref="S49:S50"/>
    <mergeCell ref="T49:T50"/>
    <mergeCell ref="U49:U50"/>
    <mergeCell ref="V49:V50"/>
    <mergeCell ref="B57:E57"/>
    <mergeCell ref="F57:F58"/>
    <mergeCell ref="G57:H57"/>
    <mergeCell ref="I57:M57"/>
    <mergeCell ref="N57:R57"/>
    <mergeCell ref="S57:S58"/>
    <mergeCell ref="T57:T58"/>
    <mergeCell ref="U57:U58"/>
    <mergeCell ref="V57:V58"/>
    <mergeCell ref="B71:E71"/>
    <mergeCell ref="F71:F72"/>
    <mergeCell ref="S71:S72"/>
    <mergeCell ref="V19:V20"/>
    <mergeCell ref="B19:E19"/>
    <mergeCell ref="F19:F20"/>
    <mergeCell ref="G19:H19"/>
    <mergeCell ref="S19:S20"/>
    <mergeCell ref="T19:T20"/>
    <mergeCell ref="U19:U20"/>
    <mergeCell ref="I19:M19"/>
    <mergeCell ref="S43:S44"/>
    <mergeCell ref="T43:T44"/>
    <mergeCell ref="U43:U44"/>
    <mergeCell ref="V43:V44"/>
    <mergeCell ref="T25:T26"/>
    <mergeCell ref="U25:U26"/>
    <mergeCell ref="V25:V26"/>
    <mergeCell ref="B33:E33"/>
    <mergeCell ref="F33:F34"/>
    <mergeCell ref="G33:H33"/>
    <mergeCell ref="I33:M33"/>
    <mergeCell ref="N33:R33"/>
    <mergeCell ref="S33:S34"/>
    <mergeCell ref="B25:E25"/>
    <mergeCell ref="F25:F26"/>
    <mergeCell ref="G25:H25"/>
    <mergeCell ref="V7:V8"/>
    <mergeCell ref="I7:M7"/>
    <mergeCell ref="N7:R7"/>
    <mergeCell ref="B7:E7"/>
    <mergeCell ref="F7:F8"/>
    <mergeCell ref="G7:H7"/>
    <mergeCell ref="S7:S8"/>
    <mergeCell ref="T7:T8"/>
    <mergeCell ref="U7:U8"/>
    <mergeCell ref="T71:T72"/>
    <mergeCell ref="U71:U72"/>
    <mergeCell ref="V71:V72"/>
    <mergeCell ref="B78:E78"/>
    <mergeCell ref="F78:F79"/>
    <mergeCell ref="G78:H78"/>
    <mergeCell ref="S78:S79"/>
    <mergeCell ref="T78:T79"/>
    <mergeCell ref="U78:U79"/>
    <mergeCell ref="V78:V79"/>
    <mergeCell ref="I71:M71"/>
    <mergeCell ref="N71:R71"/>
    <mergeCell ref="I78:M78"/>
    <mergeCell ref="N78:R78"/>
    <mergeCell ref="G71:H71"/>
    <mergeCell ref="N19:R19"/>
    <mergeCell ref="I25:M25"/>
    <mergeCell ref="N25:R25"/>
    <mergeCell ref="I49:M49"/>
    <mergeCell ref="N49:R49"/>
    <mergeCell ref="I43:M43"/>
    <mergeCell ref="N43:R43"/>
    <mergeCell ref="F147:G147"/>
    <mergeCell ref="F148:G148"/>
    <mergeCell ref="F137:R137"/>
    <mergeCell ref="F138:G138"/>
    <mergeCell ref="F139:G139"/>
    <mergeCell ref="F140:G140"/>
    <mergeCell ref="F141:G141"/>
    <mergeCell ref="F142:H143"/>
    <mergeCell ref="I142:R143"/>
    <mergeCell ref="F144:H145"/>
    <mergeCell ref="I144:I145"/>
    <mergeCell ref="J144:J145"/>
    <mergeCell ref="M144:R145"/>
  </mergeCells>
  <hyperlinks>
    <hyperlink ref="C1" location="'Información general'!A1" display="Inicio" xr:uid="{00000000-0004-0000-0400-000000000000}"/>
    <hyperlink ref="V92" r:id="rId1" xr:uid="{9506E69E-D47F-411C-8910-54992EA91ACB}"/>
    <hyperlink ref="V98" r:id="rId2" xr:uid="{F8A1DACC-EF16-47C8-A1D7-01C07732BC4A}"/>
    <hyperlink ref="V104" r:id="rId3" xr:uid="{FEC76FEA-E995-4026-BB8C-FD5EF14971EF}"/>
  </hyperlinks>
  <pageMargins left="0.7" right="0.7" top="0.75" bottom="0.75" header="0.3" footer="0.3"/>
  <pageSetup orientation="portrait" horizontalDpi="300" verticalDpi="0" r:id="rId4"/>
  <drawing r:id="rId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7" tint="0.59999389629810485"/>
  </sheetPr>
  <dimension ref="A1:V208"/>
  <sheetViews>
    <sheetView showGridLines="0" zoomScale="55" zoomScaleNormal="55" workbookViewId="0">
      <selection activeCell="O171" sqref="O171"/>
    </sheetView>
  </sheetViews>
  <sheetFormatPr defaultColWidth="11.42578125" defaultRowHeight="15.75"/>
  <cols>
    <col min="1" max="2" width="11.42578125" style="55"/>
    <col min="3" max="3" width="49.42578125" style="55" customWidth="1"/>
    <col min="4" max="4" width="45.28515625" style="55" customWidth="1"/>
    <col min="5" max="5" width="56.85546875" style="55" customWidth="1"/>
    <col min="6" max="6" width="11.42578125" style="55"/>
    <col min="7" max="7" width="17" style="55" customWidth="1"/>
    <col min="8" max="8" width="18.5703125" style="55" customWidth="1"/>
    <col min="9" max="9" width="26.7109375" style="55" bestFit="1" customWidth="1"/>
    <col min="10" max="10" width="12.140625" style="55" bestFit="1" customWidth="1"/>
    <col min="11" max="11" width="15.140625" style="55" bestFit="1" customWidth="1"/>
    <col min="12" max="12" width="13.5703125" style="55" bestFit="1" customWidth="1"/>
    <col min="13" max="16" width="11.42578125" style="55"/>
    <col min="17" max="17" width="16.85546875" style="55" bestFit="1" customWidth="1"/>
    <col min="18" max="18" width="18.5703125" style="55" bestFit="1" customWidth="1"/>
    <col min="19" max="19" width="15.42578125" style="55" customWidth="1"/>
    <col min="20" max="20" width="46" style="55" customWidth="1"/>
    <col min="21" max="21" width="40.28515625" style="55" customWidth="1"/>
    <col min="22" max="22" width="45.140625" style="55" customWidth="1"/>
    <col min="23" max="23" width="57.85546875" style="55" customWidth="1"/>
    <col min="24" max="16384" width="11.42578125" style="55"/>
  </cols>
  <sheetData>
    <row r="1" spans="1:22" ht="18.75">
      <c r="C1" s="66" t="s">
        <v>21</v>
      </c>
    </row>
    <row r="3" spans="1:22" ht="19.5" thickBot="1">
      <c r="B3" s="62" t="s">
        <v>910</v>
      </c>
      <c r="C3" s="6"/>
      <c r="D3" s="6"/>
      <c r="E3" s="6"/>
      <c r="F3" s="6"/>
      <c r="G3" s="6"/>
      <c r="H3" s="6"/>
      <c r="I3" s="6"/>
      <c r="J3" s="6"/>
      <c r="K3" s="6"/>
      <c r="L3" s="6"/>
      <c r="M3" s="6"/>
      <c r="N3" s="6"/>
      <c r="O3" s="6"/>
      <c r="P3" s="6"/>
      <c r="Q3" s="6"/>
      <c r="R3" s="6"/>
      <c r="S3" s="6"/>
      <c r="T3" s="6"/>
      <c r="U3" s="6"/>
      <c r="V3" s="6"/>
    </row>
    <row r="5" spans="1:22">
      <c r="B5" s="341" t="s">
        <v>911</v>
      </c>
      <c r="C5" s="341"/>
    </row>
    <row r="6" spans="1:22" ht="16.5" thickBot="1"/>
    <row r="7" spans="1:22" ht="16.5" thickBot="1">
      <c r="B7" s="266" t="s">
        <v>764</v>
      </c>
      <c r="C7" s="266"/>
      <c r="D7" s="266"/>
      <c r="E7" s="266"/>
      <c r="F7" s="340" t="s">
        <v>765</v>
      </c>
      <c r="G7" s="266" t="s">
        <v>766</v>
      </c>
      <c r="H7" s="266"/>
      <c r="I7" s="308" t="s">
        <v>767</v>
      </c>
      <c r="J7" s="309"/>
      <c r="K7" s="309"/>
      <c r="L7" s="309"/>
      <c r="M7" s="310"/>
      <c r="N7" s="308" t="s">
        <v>768</v>
      </c>
      <c r="O7" s="309"/>
      <c r="P7" s="309"/>
      <c r="Q7" s="309"/>
      <c r="R7" s="310"/>
      <c r="S7" s="340" t="s">
        <v>769</v>
      </c>
      <c r="T7" s="340" t="s">
        <v>770</v>
      </c>
      <c r="U7" s="266" t="s">
        <v>771</v>
      </c>
      <c r="V7" s="266" t="s">
        <v>772</v>
      </c>
    </row>
    <row r="8" spans="1:22" ht="16.5" thickBot="1">
      <c r="B8" s="51" t="s">
        <v>773</v>
      </c>
      <c r="C8" s="51" t="s">
        <v>774</v>
      </c>
      <c r="D8" s="51" t="s">
        <v>775</v>
      </c>
      <c r="E8" s="51" t="s">
        <v>24</v>
      </c>
      <c r="F8" s="340"/>
      <c r="G8" s="51" t="s">
        <v>776</v>
      </c>
      <c r="H8" s="51" t="s">
        <v>256</v>
      </c>
      <c r="I8" s="51" t="s">
        <v>777</v>
      </c>
      <c r="J8" s="51" t="s">
        <v>259</v>
      </c>
      <c r="K8" s="51" t="s">
        <v>778</v>
      </c>
      <c r="L8" s="51" t="s">
        <v>261</v>
      </c>
      <c r="M8" s="51" t="s">
        <v>779</v>
      </c>
      <c r="N8" s="51" t="s">
        <v>259</v>
      </c>
      <c r="O8" s="51" t="s">
        <v>778</v>
      </c>
      <c r="P8" s="51" t="s">
        <v>261</v>
      </c>
      <c r="Q8" s="51" t="s">
        <v>780</v>
      </c>
      <c r="R8" s="51" t="s">
        <v>779</v>
      </c>
      <c r="S8" s="340"/>
      <c r="T8" s="340"/>
      <c r="U8" s="266"/>
      <c r="V8" s="266"/>
    </row>
    <row r="9" spans="1:22" ht="126.75" hidden="1" thickBot="1">
      <c r="A9" s="56" t="s">
        <v>174</v>
      </c>
      <c r="B9" s="58">
        <v>1</v>
      </c>
      <c r="C9" s="53" t="s">
        <v>912</v>
      </c>
      <c r="D9" s="52" t="s">
        <v>913</v>
      </c>
      <c r="E9" s="53" t="s">
        <v>914</v>
      </c>
      <c r="F9" s="52"/>
      <c r="G9" s="52">
        <v>120000</v>
      </c>
      <c r="H9" s="52" t="s">
        <v>784</v>
      </c>
      <c r="I9" s="52" t="s">
        <v>785</v>
      </c>
      <c r="J9" s="52">
        <v>9.0700000000000004E-4</v>
      </c>
      <c r="K9" s="52">
        <v>2.2309999999999999</v>
      </c>
      <c r="L9" s="52">
        <v>2.8299999999999999E-4</v>
      </c>
      <c r="M9" s="52"/>
      <c r="N9" s="52">
        <f>G9*J9*21</f>
        <v>2285.64</v>
      </c>
      <c r="O9" s="52">
        <f>G9*K9*1</f>
        <v>267720</v>
      </c>
      <c r="P9" s="52">
        <f>G9*L9*310</f>
        <v>10527.6</v>
      </c>
      <c r="Q9" s="52">
        <f>(N9+O9+P9)/1000</f>
        <v>280.53323999999998</v>
      </c>
      <c r="R9" s="52"/>
      <c r="S9" s="52" t="s">
        <v>915</v>
      </c>
      <c r="T9" s="53" t="s">
        <v>916</v>
      </c>
      <c r="U9" s="53" t="s">
        <v>186</v>
      </c>
      <c r="V9" s="53" t="s">
        <v>917</v>
      </c>
    </row>
    <row r="10" spans="1:22" ht="147" customHeight="1" thickBot="1">
      <c r="B10" s="58">
        <v>1</v>
      </c>
      <c r="C10" s="80" t="s">
        <v>912</v>
      </c>
      <c r="D10" s="111" t="s">
        <v>913</v>
      </c>
      <c r="E10" s="80" t="s">
        <v>914</v>
      </c>
      <c r="F10" s="5"/>
      <c r="G10" s="81">
        <f>'4.2. ANEXOS Transporte'!D14</f>
        <v>4899420.5835337192</v>
      </c>
      <c r="H10" s="5" t="s">
        <v>792</v>
      </c>
      <c r="I10" s="5" t="s">
        <v>785</v>
      </c>
      <c r="J10" s="5">
        <f>'1.3. Factores de emisión'!E56</f>
        <v>9.0700000000000004E-4</v>
      </c>
      <c r="K10" s="5">
        <f>'1.3. Factores de emisión'!F30</f>
        <v>2.2309999999999999</v>
      </c>
      <c r="L10" s="5">
        <f>'1.3. Factores de emisión'!G56</f>
        <v>2.8299999999999999E-4</v>
      </c>
      <c r="M10" s="5"/>
      <c r="N10" s="82">
        <f>(G10*J10*'1.3. Factores de emisión'!$E$162)/1000</f>
        <v>93.319263854566742</v>
      </c>
      <c r="O10" s="82">
        <f>(G10*K10*1)/1000</f>
        <v>10930.607321863728</v>
      </c>
      <c r="P10" s="82">
        <f>(G10*L10*'1.3. Factores de emisión'!$E$163)/1000</f>
        <v>429.82616779341316</v>
      </c>
      <c r="Q10" s="82">
        <f>SUM(N10:P10)</f>
        <v>11453.752753511708</v>
      </c>
      <c r="R10" s="5"/>
      <c r="S10" s="94" t="s">
        <v>793</v>
      </c>
      <c r="T10" s="84" t="s">
        <v>918</v>
      </c>
      <c r="U10" s="84" t="s">
        <v>186</v>
      </c>
      <c r="V10" s="84" t="s">
        <v>842</v>
      </c>
    </row>
    <row r="11" spans="1:22" ht="154.5" customHeight="1" thickBot="1">
      <c r="B11" s="58">
        <v>1</v>
      </c>
      <c r="C11" s="80" t="s">
        <v>912</v>
      </c>
      <c r="D11" s="111" t="s">
        <v>846</v>
      </c>
      <c r="E11" s="80" t="s">
        <v>919</v>
      </c>
      <c r="F11" s="5"/>
      <c r="G11" s="81">
        <f>'4.2. ANEXOS Transporte'!C14</f>
        <v>6763128.8617162043</v>
      </c>
      <c r="H11" s="5" t="str">
        <f t="shared" ref="H11:I14" si="0">H10</f>
        <v>Litros</v>
      </c>
      <c r="I11" s="5" t="str">
        <f t="shared" si="0"/>
        <v>kg de GEI/L de combustible</v>
      </c>
      <c r="J11" s="5">
        <f>'1.3. Factores de emisión'!E57</f>
        <v>1.4899999999999999E-4</v>
      </c>
      <c r="K11" s="5">
        <f>'1.3. Factores de emisión'!F31</f>
        <v>2.613</v>
      </c>
      <c r="L11" s="5">
        <f>'1.3. Factores de emisión'!G57</f>
        <v>1.54E-4</v>
      </c>
      <c r="M11" s="5"/>
      <c r="N11" s="82">
        <f>(G11*J11*'1.3. Factores de emisión'!$E$162)/1000</f>
        <v>21.161830208310004</v>
      </c>
      <c r="O11" s="82">
        <f>(G11*K11*1)/1000</f>
        <v>17672.055715664443</v>
      </c>
      <c r="P11" s="82">
        <f>(G11*L11*'1.3. Factores de emisión'!$E$163)/1000</f>
        <v>322.87177185833161</v>
      </c>
      <c r="Q11" s="82">
        <f>SUM(N11:P11)</f>
        <v>18016.089317731086</v>
      </c>
      <c r="R11" s="5"/>
      <c r="S11" s="94" t="s">
        <v>793</v>
      </c>
      <c r="T11" s="84" t="s">
        <v>920</v>
      </c>
      <c r="U11" s="84" t="s">
        <v>186</v>
      </c>
      <c r="V11" s="84" t="s">
        <v>842</v>
      </c>
    </row>
    <row r="12" spans="1:22" ht="111" customHeight="1" thickBot="1">
      <c r="B12" s="58">
        <v>1</v>
      </c>
      <c r="C12" s="80" t="s">
        <v>912</v>
      </c>
      <c r="D12" s="80" t="s">
        <v>921</v>
      </c>
      <c r="E12" s="80" t="s">
        <v>922</v>
      </c>
      <c r="F12" s="5"/>
      <c r="G12" s="81">
        <f>'4.2. ANEXOS Transporte'!D132</f>
        <v>3.634615384615385</v>
      </c>
      <c r="H12" s="5" t="str">
        <f t="shared" si="0"/>
        <v>Litros</v>
      </c>
      <c r="I12" s="5" t="str">
        <f t="shared" si="0"/>
        <v>kg de GEI/L de combustible</v>
      </c>
      <c r="J12" s="5">
        <f>'1.3. Factores de emisión'!E57</f>
        <v>1.4899999999999999E-4</v>
      </c>
      <c r="K12" s="5">
        <f>'1.3. Factores de emisión'!F31</f>
        <v>2.613</v>
      </c>
      <c r="L12" s="5">
        <f>'1.3. Factores de emisión'!G57</f>
        <v>1.54E-4</v>
      </c>
      <c r="M12" s="5"/>
      <c r="N12" s="82">
        <f>(G12*J12*'1.3. Factores de emisión'!$E$162)/1000</f>
        <v>1.1372711538461539E-5</v>
      </c>
      <c r="O12" s="82">
        <f t="shared" ref="O12:O17" si="1">(G12*K12*1)/1000</f>
        <v>9.4972500000000005E-3</v>
      </c>
      <c r="P12" s="82">
        <f>(G12*L12*'1.3. Factores de emisión'!$E$163)/1000</f>
        <v>1.7351653846153848E-4</v>
      </c>
      <c r="Q12" s="82">
        <f t="shared" ref="Q12:Q14" si="2">SUM(N12:P12)</f>
        <v>9.6821392499999992E-3</v>
      </c>
      <c r="R12" s="5"/>
      <c r="S12" s="94" t="s">
        <v>793</v>
      </c>
      <c r="T12" s="84" t="s">
        <v>923</v>
      </c>
      <c r="U12" s="94" t="s">
        <v>924</v>
      </c>
      <c r="V12" s="84" t="s">
        <v>925</v>
      </c>
    </row>
    <row r="13" spans="1:22" ht="117" customHeight="1" thickBot="1">
      <c r="B13" s="58">
        <v>1</v>
      </c>
      <c r="C13" s="80" t="s">
        <v>912</v>
      </c>
      <c r="D13" s="80" t="s">
        <v>921</v>
      </c>
      <c r="E13" s="80" t="s">
        <v>926</v>
      </c>
      <c r="F13" s="5"/>
      <c r="G13" s="81">
        <f>'4.2. ANEXOS Transporte'!F86</f>
        <v>4153.4206060606057</v>
      </c>
      <c r="H13" s="5" t="str">
        <f t="shared" si="0"/>
        <v>Litros</v>
      </c>
      <c r="I13" s="5" t="str">
        <f t="shared" si="0"/>
        <v>kg de GEI/L de combustible</v>
      </c>
      <c r="J13" s="5">
        <f t="shared" ref="J13:L14" si="3">J12</f>
        <v>1.4899999999999999E-4</v>
      </c>
      <c r="K13" s="5">
        <f t="shared" si="3"/>
        <v>2.613</v>
      </c>
      <c r="L13" s="5">
        <f t="shared" si="3"/>
        <v>1.54E-4</v>
      </c>
      <c r="M13" s="5"/>
      <c r="N13" s="82">
        <f>(G13*J13*'1.3. Factores de emisión'!$E$162)/1000</f>
        <v>1.2996053076363635E-2</v>
      </c>
      <c r="O13" s="82">
        <f t="shared" si="1"/>
        <v>10.852888043636364</v>
      </c>
      <c r="P13" s="82">
        <f>(G13*L13*'1.3. Factores de emisión'!$E$163)/1000</f>
        <v>0.19828429973333331</v>
      </c>
      <c r="Q13" s="82">
        <f t="shared" si="2"/>
        <v>11.06416839644606</v>
      </c>
      <c r="R13" s="5"/>
      <c r="S13" s="94" t="s">
        <v>793</v>
      </c>
      <c r="T13" s="84" t="s">
        <v>927</v>
      </c>
      <c r="U13" s="94" t="s">
        <v>924</v>
      </c>
      <c r="V13" s="84" t="s">
        <v>928</v>
      </c>
    </row>
    <row r="14" spans="1:22" ht="117" customHeight="1" thickBot="1">
      <c r="B14" s="58">
        <v>1</v>
      </c>
      <c r="C14" s="80" t="s">
        <v>912</v>
      </c>
      <c r="D14" s="80" t="s">
        <v>921</v>
      </c>
      <c r="E14" s="80" t="s">
        <v>929</v>
      </c>
      <c r="F14" s="5"/>
      <c r="G14" s="81">
        <f>'4.2. ANEXOS Transporte'!K95</f>
        <v>25653.483478260874</v>
      </c>
      <c r="H14" s="5" t="str">
        <f t="shared" si="0"/>
        <v>Litros</v>
      </c>
      <c r="I14" s="5" t="str">
        <f t="shared" si="0"/>
        <v>kg de GEI/L de combustible</v>
      </c>
      <c r="J14" s="5">
        <f t="shared" si="3"/>
        <v>1.4899999999999999E-4</v>
      </c>
      <c r="K14" s="5">
        <f t="shared" si="3"/>
        <v>2.613</v>
      </c>
      <c r="L14" s="5">
        <f t="shared" si="3"/>
        <v>1.54E-4</v>
      </c>
      <c r="M14" s="5"/>
      <c r="N14" s="82">
        <f>(G14*J14*'1.3. Factores de emisión'!$E$162)/1000</f>
        <v>8.0269749803478271E-2</v>
      </c>
      <c r="O14" s="82">
        <f t="shared" si="1"/>
        <v>67.032552328695658</v>
      </c>
      <c r="P14" s="82">
        <f>(G14*L14*'1.3. Factores de emisión'!$E$163)/1000</f>
        <v>1.2246973012521742</v>
      </c>
      <c r="Q14" s="82">
        <f t="shared" si="2"/>
        <v>68.337519379751313</v>
      </c>
      <c r="R14" s="5"/>
      <c r="S14" s="94" t="s">
        <v>793</v>
      </c>
      <c r="T14" s="84" t="s">
        <v>930</v>
      </c>
      <c r="U14" s="94" t="s">
        <v>924</v>
      </c>
      <c r="V14" s="84" t="s">
        <v>928</v>
      </c>
    </row>
    <row r="15" spans="1:22" ht="149.25" customHeight="1" thickBot="1">
      <c r="B15" s="58">
        <v>1</v>
      </c>
      <c r="C15" s="80" t="s">
        <v>912</v>
      </c>
      <c r="D15" s="111" t="s">
        <v>913</v>
      </c>
      <c r="E15" s="80" t="s">
        <v>931</v>
      </c>
      <c r="F15" s="5"/>
      <c r="G15" s="81">
        <f>'4.2. ANEXOS Transporte'!D21</f>
        <v>3378879.999197091</v>
      </c>
      <c r="H15" s="5" t="s">
        <v>784</v>
      </c>
      <c r="I15" s="5" t="s">
        <v>785</v>
      </c>
      <c r="J15" s="5">
        <f>'1.3. Factores de emisión'!E56</f>
        <v>9.0700000000000004E-4</v>
      </c>
      <c r="K15" s="5">
        <f>'1.3. Factores de emisión'!F30</f>
        <v>2.2309999999999999</v>
      </c>
      <c r="L15" s="5">
        <f>'1.3. Factores de emisión'!G56</f>
        <v>2.8299999999999999E-4</v>
      </c>
      <c r="M15" s="5"/>
      <c r="N15" s="82">
        <f>(G15*J15*'1.3. Factores de emisión'!$E$162)/1000</f>
        <v>64.357527344706995</v>
      </c>
      <c r="O15" s="82">
        <f t="shared" si="1"/>
        <v>7538.2812782087094</v>
      </c>
      <c r="P15" s="82">
        <f>(G15*L15*'1.3. Factores de emisión'!$E$163)/1000</f>
        <v>296.42914232956076</v>
      </c>
      <c r="Q15" s="82">
        <f>SUM(N15:P15)</f>
        <v>7899.067947882977</v>
      </c>
      <c r="R15" s="5"/>
      <c r="S15" s="84" t="s">
        <v>793</v>
      </c>
      <c r="T15" s="84" t="s">
        <v>932</v>
      </c>
      <c r="U15" s="84" t="s">
        <v>795</v>
      </c>
      <c r="V15" s="84" t="s">
        <v>796</v>
      </c>
    </row>
    <row r="16" spans="1:22" ht="102" customHeight="1" thickBot="1">
      <c r="B16" s="58">
        <v>1</v>
      </c>
      <c r="C16" s="80" t="s">
        <v>912</v>
      </c>
      <c r="D16" s="111" t="s">
        <v>846</v>
      </c>
      <c r="E16" s="80" t="s">
        <v>933</v>
      </c>
      <c r="F16" s="5"/>
      <c r="G16" s="81">
        <f>'4.2. ANEXOS Transporte'!C21</f>
        <v>1653601.0689952073</v>
      </c>
      <c r="H16" s="5" t="s">
        <v>784</v>
      </c>
      <c r="I16" s="5" t="s">
        <v>785</v>
      </c>
      <c r="J16" s="5">
        <f>'1.3. Factores de emisión'!E57</f>
        <v>1.4899999999999999E-4</v>
      </c>
      <c r="K16" s="5">
        <f>'1.3. Factores de emisión'!F31</f>
        <v>2.613</v>
      </c>
      <c r="L16" s="5">
        <f>'1.3. Factores de emisión'!G57</f>
        <v>1.54E-4</v>
      </c>
      <c r="M16" s="5"/>
      <c r="N16" s="82">
        <f>(G16*J16*'1.3. Factores de emisión'!$E$162)/1000</f>
        <v>5.1741177448860034</v>
      </c>
      <c r="O16" s="82">
        <f t="shared" si="1"/>
        <v>4320.8595932844764</v>
      </c>
      <c r="P16" s="82">
        <f>(G16*L16*'1.3. Factores de emisión'!$E$163)/1000</f>
        <v>78.942915033831198</v>
      </c>
      <c r="Q16" s="82">
        <f t="shared" ref="Q16:Q17" si="4">SUM(N16:P16)</f>
        <v>4404.9766260631932</v>
      </c>
      <c r="R16" s="5"/>
      <c r="S16" s="84" t="s">
        <v>793</v>
      </c>
      <c r="T16" s="84" t="s">
        <v>934</v>
      </c>
      <c r="U16" s="84" t="s">
        <v>795</v>
      </c>
      <c r="V16" s="84" t="s">
        <v>796</v>
      </c>
    </row>
    <row r="17" spans="2:22" ht="128.25" customHeight="1" thickBot="1">
      <c r="B17" s="58">
        <v>1</v>
      </c>
      <c r="C17" s="80" t="s">
        <v>912</v>
      </c>
      <c r="D17" s="111" t="s">
        <v>935</v>
      </c>
      <c r="E17" s="80" t="s">
        <v>936</v>
      </c>
      <c r="F17" s="5"/>
      <c r="G17" s="81">
        <f>'4.2. ANEXOS Transporte'!E21</f>
        <v>157070.81989671971</v>
      </c>
      <c r="H17" s="5" t="s">
        <v>784</v>
      </c>
      <c r="I17" s="5" t="s">
        <v>785</v>
      </c>
      <c r="J17" s="5">
        <f>'1.3. Factores de emisión'!E58</f>
        <v>1.5834999999999998E-3</v>
      </c>
      <c r="K17" s="5">
        <f>'1.3. Factores de emisión'!F34</f>
        <v>1.611</v>
      </c>
      <c r="L17" s="5">
        <f>'1.3. Factores de emisión'!G58</f>
        <v>5.1000000000000003E-6</v>
      </c>
      <c r="M17" s="5"/>
      <c r="N17" s="82">
        <f>(G17*J17*'1.3. Factores de emisión'!$E$162)/1000</f>
        <v>5.2231545094355676</v>
      </c>
      <c r="O17" s="82">
        <f t="shared" si="1"/>
        <v>253.04109085361546</v>
      </c>
      <c r="P17" s="82">
        <f>(G17*L17*'1.3. Factores de emisión'!$E$163)/1000</f>
        <v>0.24832896625671386</v>
      </c>
      <c r="Q17" s="82">
        <f t="shared" si="4"/>
        <v>258.51257432930777</v>
      </c>
      <c r="R17" s="5"/>
      <c r="S17" s="84" t="s">
        <v>793</v>
      </c>
      <c r="T17" s="84" t="s">
        <v>937</v>
      </c>
      <c r="U17" s="84" t="s">
        <v>795</v>
      </c>
      <c r="V17" s="84" t="s">
        <v>796</v>
      </c>
    </row>
    <row r="18" spans="2:22" ht="127.5" customHeight="1" thickBot="1">
      <c r="B18" s="58">
        <v>1</v>
      </c>
      <c r="C18" s="80" t="s">
        <v>912</v>
      </c>
      <c r="D18" s="111" t="s">
        <v>913</v>
      </c>
      <c r="E18" s="80" t="s">
        <v>938</v>
      </c>
      <c r="F18" s="5"/>
      <c r="G18" s="81">
        <f>'4.2. ANEXOS Transporte'!D36</f>
        <v>446904.9445204449</v>
      </c>
      <c r="H18" s="5" t="s">
        <v>784</v>
      </c>
      <c r="I18" s="5" t="s">
        <v>785</v>
      </c>
      <c r="J18" s="5">
        <f>'1.3. Factores de emisión'!E56</f>
        <v>9.0700000000000004E-4</v>
      </c>
      <c r="K18" s="5">
        <f>'1.3. Factores de emisión'!F30</f>
        <v>2.2309999999999999</v>
      </c>
      <c r="L18" s="5">
        <f>'1.3. Factores de emisión'!G56</f>
        <v>2.8299999999999999E-4</v>
      </c>
      <c r="M18" s="5"/>
      <c r="N18" s="82">
        <f>(G18*J18*'1.3. Factores de emisión'!$E$162)/1000</f>
        <v>8.5121984782809132</v>
      </c>
      <c r="O18" s="82">
        <f t="shared" ref="O18:O21" si="5">(G18*K18*1)/1000</f>
        <v>997.04493122511258</v>
      </c>
      <c r="P18" s="82">
        <f>(G18*L18*'1.3. Factores de emisión'!$E$163)/1000</f>
        <v>39.206970782778633</v>
      </c>
      <c r="Q18" s="82">
        <f t="shared" ref="Q18:Q21" si="6">SUM(N18:P18)</f>
        <v>1044.7641004861721</v>
      </c>
      <c r="R18" s="5"/>
      <c r="S18" s="84" t="s">
        <v>793</v>
      </c>
      <c r="T18" s="84" t="s">
        <v>939</v>
      </c>
      <c r="U18" s="84" t="s">
        <v>826</v>
      </c>
      <c r="V18" s="84" t="s">
        <v>796</v>
      </c>
    </row>
    <row r="19" spans="2:22" ht="125.25" customHeight="1" thickBot="1">
      <c r="B19" s="58">
        <v>1</v>
      </c>
      <c r="C19" s="80" t="s">
        <v>912</v>
      </c>
      <c r="D19" s="111" t="s">
        <v>846</v>
      </c>
      <c r="E19" s="80" t="s">
        <v>940</v>
      </c>
      <c r="F19" s="5"/>
      <c r="G19" s="81">
        <f>'4.2. ANEXOS Transporte'!C36</f>
        <v>240399.51550637389</v>
      </c>
      <c r="H19" s="5" t="s">
        <v>784</v>
      </c>
      <c r="I19" s="57" t="s">
        <v>785</v>
      </c>
      <c r="J19" s="5">
        <f>'1.3. Factores de emisión'!E57</f>
        <v>1.4899999999999999E-4</v>
      </c>
      <c r="K19" s="5">
        <f>'1.3. Factores de emisión'!F31</f>
        <v>2.613</v>
      </c>
      <c r="L19" s="5">
        <f>'1.3. Factores de emisión'!G57</f>
        <v>1.54E-4</v>
      </c>
      <c r="M19" s="5"/>
      <c r="N19" s="82">
        <f>(G19*J19*'1.3. Factores de emisión'!$E$162)/1000</f>
        <v>0.75221008401944378</v>
      </c>
      <c r="O19" s="82">
        <f t="shared" si="5"/>
        <v>628.16393401815503</v>
      </c>
      <c r="P19" s="82">
        <f>(G19*L19*'1.3. Factores de emisión'!$E$163)/1000</f>
        <v>11.476672870274291</v>
      </c>
      <c r="Q19" s="82">
        <f t="shared" si="6"/>
        <v>640.39281697244883</v>
      </c>
      <c r="R19" s="5"/>
      <c r="S19" s="84" t="s">
        <v>793</v>
      </c>
      <c r="T19" s="84" t="s">
        <v>941</v>
      </c>
      <c r="U19" s="84" t="s">
        <v>826</v>
      </c>
      <c r="V19" s="84" t="s">
        <v>796</v>
      </c>
    </row>
    <row r="20" spans="2:22" ht="144" customHeight="1" thickBot="1">
      <c r="B20" s="58">
        <v>1</v>
      </c>
      <c r="C20" s="80" t="s">
        <v>912</v>
      </c>
      <c r="D20" s="111" t="s">
        <v>913</v>
      </c>
      <c r="E20" s="80" t="s">
        <v>942</v>
      </c>
      <c r="F20" s="5"/>
      <c r="G20" s="81">
        <f>'4.2. ANEXOS Transporte'!D28</f>
        <v>24650.68394341864</v>
      </c>
      <c r="H20" s="5" t="s">
        <v>784</v>
      </c>
      <c r="I20" s="57" t="s">
        <v>785</v>
      </c>
      <c r="J20" s="5">
        <f>'1.3. Factores de emisión'!E56</f>
        <v>9.0700000000000004E-4</v>
      </c>
      <c r="K20" s="5">
        <f>'1.3. Factores de emisión'!F30</f>
        <v>2.2309999999999999</v>
      </c>
      <c r="L20" s="5">
        <f>'1.3. Factores de emisión'!G56</f>
        <v>2.8299999999999999E-4</v>
      </c>
      <c r="M20" s="5"/>
      <c r="N20" s="82">
        <f>(G20*J20*'1.3. Factores de emisión'!$E$162)/1000</f>
        <v>0.4695215770702949</v>
      </c>
      <c r="O20" s="82">
        <f t="shared" si="5"/>
        <v>54.995675877766985</v>
      </c>
      <c r="P20" s="82">
        <f>(G20*L20*'1.3. Factores de emisión'!$E$163)/1000</f>
        <v>2.1626045023561171</v>
      </c>
      <c r="Q20" s="82">
        <f t="shared" si="6"/>
        <v>57.627801957193398</v>
      </c>
      <c r="R20" s="5"/>
      <c r="S20" s="84" t="s">
        <v>793</v>
      </c>
      <c r="T20" s="84" t="s">
        <v>939</v>
      </c>
      <c r="U20" s="84" t="s">
        <v>826</v>
      </c>
      <c r="V20" s="84" t="s">
        <v>796</v>
      </c>
    </row>
    <row r="21" spans="2:22" ht="150" customHeight="1" thickBot="1">
      <c r="B21" s="58">
        <v>1</v>
      </c>
      <c r="C21" s="80" t="s">
        <v>912</v>
      </c>
      <c r="D21" s="111" t="s">
        <v>846</v>
      </c>
      <c r="E21" s="80" t="s">
        <v>943</v>
      </c>
      <c r="F21" s="5"/>
      <c r="G21" s="81">
        <f>'4.2. ANEXOS Transporte'!C28</f>
        <v>338967.57696079405</v>
      </c>
      <c r="H21" s="5" t="s">
        <v>784</v>
      </c>
      <c r="I21" s="57" t="s">
        <v>785</v>
      </c>
      <c r="J21" s="5">
        <f>'1.3. Factores de emisión'!E57</f>
        <v>1.4899999999999999E-4</v>
      </c>
      <c r="K21" s="5">
        <f>'1.3. Factores de emisión'!F31</f>
        <v>2.613</v>
      </c>
      <c r="L21" s="5">
        <f>'1.3. Factores de emisión'!G57</f>
        <v>1.54E-4</v>
      </c>
      <c r="M21" s="5"/>
      <c r="N21" s="82">
        <f>(G21*J21*'1.3. Factores de emisión'!$E$162)/1000</f>
        <v>1.0606295483103245</v>
      </c>
      <c r="O21" s="82">
        <f t="shared" si="5"/>
        <v>885.72227859855479</v>
      </c>
      <c r="P21" s="82">
        <f>(G21*L21*'1.3. Factores de emisión'!$E$163)/1000</f>
        <v>16.182312124108307</v>
      </c>
      <c r="Q21" s="82">
        <f t="shared" si="6"/>
        <v>902.96522027097342</v>
      </c>
      <c r="R21" s="5"/>
      <c r="S21" s="84" t="s">
        <v>793</v>
      </c>
      <c r="T21" s="84" t="s">
        <v>941</v>
      </c>
      <c r="U21" s="84" t="s">
        <v>826</v>
      </c>
      <c r="V21" s="84" t="s">
        <v>796</v>
      </c>
    </row>
    <row r="22" spans="2:22" ht="150" customHeight="1" thickBot="1">
      <c r="B22" s="58">
        <v>1</v>
      </c>
      <c r="C22" s="80" t="s">
        <v>912</v>
      </c>
      <c r="D22" s="111" t="s">
        <v>913</v>
      </c>
      <c r="E22" s="80" t="s">
        <v>944</v>
      </c>
      <c r="F22" s="5"/>
      <c r="G22" s="81">
        <f>'4.2. ANEXOS Transporte'!D51</f>
        <v>564688.026303855</v>
      </c>
      <c r="H22" s="5" t="s">
        <v>784</v>
      </c>
      <c r="I22" s="5" t="s">
        <v>785</v>
      </c>
      <c r="J22" s="5">
        <f>'1.3. Factores de emisión'!E56</f>
        <v>9.0700000000000004E-4</v>
      </c>
      <c r="K22" s="5">
        <f>'1.3. Factores de emisión'!F30</f>
        <v>2.2309999999999999</v>
      </c>
      <c r="L22" s="5">
        <f>'1.3. Factores de emisión'!G56</f>
        <v>2.8299999999999999E-4</v>
      </c>
      <c r="M22" s="5"/>
      <c r="N22" s="82">
        <f>(G22*J22*'1.3. Factores de emisión'!$E$162)/1000</f>
        <v>10.755612837009526</v>
      </c>
      <c r="O22" s="82">
        <f t="shared" ref="O22:O25" si="7">(G22*K22*1)/1000</f>
        <v>1259.8189866839004</v>
      </c>
      <c r="P22" s="82">
        <f>(G22*L22*'1.3. Factores de emisión'!$E$163)/1000</f>
        <v>49.540080547637196</v>
      </c>
      <c r="Q22" s="82">
        <f t="shared" ref="Q22:Q25" si="8">SUM(N22:P22)</f>
        <v>1320.1146800685472</v>
      </c>
      <c r="R22" s="5"/>
      <c r="S22" s="84" t="s">
        <v>793</v>
      </c>
      <c r="T22" s="84" t="s">
        <v>945</v>
      </c>
      <c r="U22" s="84" t="s">
        <v>946</v>
      </c>
      <c r="V22" s="84" t="s">
        <v>796</v>
      </c>
    </row>
    <row r="23" spans="2:22" ht="150" customHeight="1" thickBot="1">
      <c r="B23" s="58">
        <v>1</v>
      </c>
      <c r="C23" s="80" t="s">
        <v>912</v>
      </c>
      <c r="D23" s="111" t="s">
        <v>846</v>
      </c>
      <c r="E23" s="80" t="s">
        <v>947</v>
      </c>
      <c r="F23" s="5"/>
      <c r="G23" s="81">
        <f>'4.2. ANEXOS Transporte'!C51</f>
        <v>13748.032872879874</v>
      </c>
      <c r="H23" s="5" t="s">
        <v>784</v>
      </c>
      <c r="I23" s="57" t="s">
        <v>785</v>
      </c>
      <c r="J23" s="5">
        <f>'1.3. Factores de emisión'!E57</f>
        <v>1.4899999999999999E-4</v>
      </c>
      <c r="K23" s="5">
        <f>'1.3. Factores de emisión'!F31</f>
        <v>2.613</v>
      </c>
      <c r="L23" s="5">
        <f>'1.3. Factores de emisión'!G57</f>
        <v>1.54E-4</v>
      </c>
      <c r="M23" s="5"/>
      <c r="N23" s="82">
        <f>(G23*J23*'1.3. Factores de emisión'!$E$162)/1000</f>
        <v>4.3017594859241122E-2</v>
      </c>
      <c r="O23" s="82">
        <f t="shared" si="7"/>
        <v>35.923609896835117</v>
      </c>
      <c r="P23" s="82">
        <f>(G23*L23*'1.3. Factores de emisión'!$E$163)/1000</f>
        <v>0.65633108935128515</v>
      </c>
      <c r="Q23" s="82">
        <f t="shared" si="8"/>
        <v>36.622958581045644</v>
      </c>
      <c r="R23" s="5"/>
      <c r="S23" s="84" t="s">
        <v>793</v>
      </c>
      <c r="T23" s="84" t="s">
        <v>948</v>
      </c>
      <c r="U23" s="84" t="s">
        <v>946</v>
      </c>
      <c r="V23" s="84" t="s">
        <v>796</v>
      </c>
    </row>
    <row r="24" spans="2:22" ht="150" customHeight="1" thickBot="1">
      <c r="B24" s="58">
        <v>1</v>
      </c>
      <c r="C24" s="80" t="s">
        <v>912</v>
      </c>
      <c r="D24" s="111" t="s">
        <v>913</v>
      </c>
      <c r="E24" s="80" t="s">
        <v>949</v>
      </c>
      <c r="F24" s="5"/>
      <c r="G24" s="81">
        <f>'4.2. ANEXOS Transporte'!D43</f>
        <v>27931.209261904769</v>
      </c>
      <c r="H24" s="5" t="s">
        <v>784</v>
      </c>
      <c r="I24" s="57" t="s">
        <v>785</v>
      </c>
      <c r="J24" s="5">
        <f>'1.3. Factores de emisión'!E56</f>
        <v>9.0700000000000004E-4</v>
      </c>
      <c r="K24" s="5">
        <f>'1.3. Factores de emisión'!F30</f>
        <v>2.2309999999999999</v>
      </c>
      <c r="L24" s="5">
        <f>'1.3. Factores de emisión'!G56</f>
        <v>2.8299999999999999E-4</v>
      </c>
      <c r="M24" s="5"/>
      <c r="N24" s="82">
        <f>(G24*J24*'1.3. Factores de emisión'!$E$162)/1000</f>
        <v>0.53200574281150026</v>
      </c>
      <c r="O24" s="82">
        <f t="shared" si="7"/>
        <v>62.314527863309536</v>
      </c>
      <c r="P24" s="82">
        <f>(G24*L24*'1.3. Factores de emisión'!$E$163)/1000</f>
        <v>2.4504049885469055</v>
      </c>
      <c r="Q24" s="82">
        <f t="shared" si="8"/>
        <v>65.296938594667935</v>
      </c>
      <c r="R24" s="5"/>
      <c r="S24" s="84" t="s">
        <v>793</v>
      </c>
      <c r="T24" s="84" t="s">
        <v>945</v>
      </c>
      <c r="U24" s="84" t="s">
        <v>946</v>
      </c>
      <c r="V24" s="84" t="s">
        <v>796</v>
      </c>
    </row>
    <row r="25" spans="2:22" ht="150" customHeight="1" thickBot="1">
      <c r="B25" s="58">
        <v>1</v>
      </c>
      <c r="C25" s="80" t="s">
        <v>912</v>
      </c>
      <c r="D25" s="111" t="s">
        <v>846</v>
      </c>
      <c r="E25" s="80" t="s">
        <v>950</v>
      </c>
      <c r="F25" s="5"/>
      <c r="G25" s="81">
        <f>'4.2. ANEXOS Transporte'!C43</f>
        <v>1127272.1377522293</v>
      </c>
      <c r="H25" s="5" t="s">
        <v>784</v>
      </c>
      <c r="I25" s="57" t="s">
        <v>785</v>
      </c>
      <c r="J25" s="5">
        <f>'1.3. Factores de emisión'!E57</f>
        <v>1.4899999999999999E-4</v>
      </c>
      <c r="K25" s="5">
        <f>'1.3. Factores de emisión'!F31</f>
        <v>2.613</v>
      </c>
      <c r="L25" s="5">
        <f>'1.3. Factores de emisión'!G57</f>
        <v>1.54E-4</v>
      </c>
      <c r="M25" s="5"/>
      <c r="N25" s="82">
        <f>(G25*J25*'1.3. Factores de emisión'!$E$162)/1000</f>
        <v>3.5272345190267251</v>
      </c>
      <c r="O25" s="82">
        <f t="shared" si="7"/>
        <v>2945.562095946575</v>
      </c>
      <c r="P25" s="82">
        <f>(G25*L25*'1.3. Factores de emisión'!$E$163)/1000</f>
        <v>53.815971856291426</v>
      </c>
      <c r="Q25" s="82">
        <f t="shared" si="8"/>
        <v>3002.9053023218935</v>
      </c>
      <c r="R25" s="5"/>
      <c r="S25" s="84" t="s">
        <v>793</v>
      </c>
      <c r="T25" s="84" t="s">
        <v>948</v>
      </c>
      <c r="U25" s="84" t="s">
        <v>946</v>
      </c>
      <c r="V25" s="84" t="s">
        <v>796</v>
      </c>
    </row>
    <row r="26" spans="2:22" ht="150" customHeight="1" thickBot="1">
      <c r="B26" s="58">
        <v>1</v>
      </c>
      <c r="C26" s="80" t="s">
        <v>912</v>
      </c>
      <c r="D26" s="111" t="s">
        <v>935</v>
      </c>
      <c r="E26" s="80" t="s">
        <v>951</v>
      </c>
      <c r="F26" s="5"/>
      <c r="G26" s="81">
        <f>'4.2. ANEXOS Transporte'!E43</f>
        <v>227437.35828944074</v>
      </c>
      <c r="H26" s="5" t="s">
        <v>784</v>
      </c>
      <c r="I26" s="57" t="s">
        <v>785</v>
      </c>
      <c r="J26" s="5">
        <f>'1.3. Factores de emisión'!E58</f>
        <v>1.5834999999999998E-3</v>
      </c>
      <c r="K26" s="5">
        <f>'1.3. Factores de emisión'!F34</f>
        <v>1.611</v>
      </c>
      <c r="L26" s="5">
        <f>'1.3. Factores de emisión'!G58</f>
        <v>5.1000000000000003E-6</v>
      </c>
      <c r="M26" s="5"/>
      <c r="N26" s="82">
        <f>(G26*J26*'1.3. Factores de emisión'!$E$162)/1000</f>
        <v>7.5630881938779178</v>
      </c>
      <c r="O26" s="82">
        <f t="shared" ref="O26:O28" si="9">(G26*K26*1)/1000</f>
        <v>366.40158420428901</v>
      </c>
      <c r="P26" s="82">
        <f>(G26*L26*'1.3. Factores de emisión'!$E$163)/1000</f>
        <v>0.35957846345560579</v>
      </c>
      <c r="Q26" s="82">
        <f t="shared" ref="Q26:Q28" si="10">SUM(N26:P26)</f>
        <v>374.32425086162255</v>
      </c>
      <c r="R26" s="5"/>
      <c r="S26" s="84" t="s">
        <v>793</v>
      </c>
      <c r="T26" s="84" t="s">
        <v>952</v>
      </c>
      <c r="U26" s="84" t="s">
        <v>946</v>
      </c>
      <c r="V26" s="84" t="s">
        <v>796</v>
      </c>
    </row>
    <row r="27" spans="2:22" ht="150" customHeight="1" thickBot="1">
      <c r="B27" s="58">
        <v>1</v>
      </c>
      <c r="C27" s="80" t="s">
        <v>912</v>
      </c>
      <c r="D27" s="111" t="s">
        <v>846</v>
      </c>
      <c r="E27" s="80" t="s">
        <v>953</v>
      </c>
      <c r="F27" s="5"/>
      <c r="G27" s="81">
        <f>'4.2. ANEXOS Transporte'!C62</f>
        <v>14730.941773037246</v>
      </c>
      <c r="H27" s="5" t="s">
        <v>784</v>
      </c>
      <c r="I27" s="57" t="s">
        <v>785</v>
      </c>
      <c r="J27" s="5">
        <f>'1.3. Factores de emisión'!E57</f>
        <v>1.4899999999999999E-4</v>
      </c>
      <c r="K27" s="5">
        <f>'1.3. Factores de emisión'!F31</f>
        <v>2.613</v>
      </c>
      <c r="L27" s="5">
        <f>'1.3. Factores de emisión'!G57</f>
        <v>1.54E-4</v>
      </c>
      <c r="M27" s="5"/>
      <c r="N27" s="82">
        <f>(G27*J27*'1.3. Factores de emisión'!$E$162)/1000</f>
        <v>4.609311680783354E-2</v>
      </c>
      <c r="O27" s="82">
        <f t="shared" si="9"/>
        <v>38.491950852946324</v>
      </c>
      <c r="P27" s="82">
        <f>(G27*L27*'1.3. Factores de emisión'!$E$163)/1000</f>
        <v>0.70325516024479817</v>
      </c>
      <c r="Q27" s="82">
        <f t="shared" si="10"/>
        <v>39.241299129998957</v>
      </c>
      <c r="R27" s="5"/>
      <c r="S27" s="84" t="s">
        <v>793</v>
      </c>
      <c r="T27" s="84" t="s">
        <v>954</v>
      </c>
      <c r="U27" s="84" t="s">
        <v>955</v>
      </c>
      <c r="V27" s="84" t="s">
        <v>796</v>
      </c>
    </row>
    <row r="28" spans="2:22" ht="150" customHeight="1" thickBot="1">
      <c r="B28" s="58">
        <v>1</v>
      </c>
      <c r="C28" s="80" t="s">
        <v>912</v>
      </c>
      <c r="D28" s="111" t="s">
        <v>913</v>
      </c>
      <c r="E28" s="80" t="s">
        <v>956</v>
      </c>
      <c r="F28" s="5"/>
      <c r="G28" s="81">
        <f>'4.2. ANEXOS Transporte'!D66</f>
        <v>986.84807256235854</v>
      </c>
      <c r="H28" s="5" t="s">
        <v>784</v>
      </c>
      <c r="I28" s="5" t="s">
        <v>785</v>
      </c>
      <c r="J28" s="5">
        <f>'1.3. Factores de emisión'!E56</f>
        <v>9.0700000000000004E-4</v>
      </c>
      <c r="K28" s="5">
        <f>'1.3. Factores de emisión'!F30</f>
        <v>2.2309999999999999</v>
      </c>
      <c r="L28" s="5">
        <f>'1.3. Factores de emisión'!G56</f>
        <v>2.8299999999999999E-4</v>
      </c>
      <c r="M28" s="5"/>
      <c r="N28" s="82">
        <f>(G28*J28*'1.3. Factores de emisión'!$E$162)/1000</f>
        <v>1.8796495238095245E-2</v>
      </c>
      <c r="O28" s="82">
        <f t="shared" si="9"/>
        <v>2.2016580498866221</v>
      </c>
      <c r="P28" s="82">
        <f>(G28*L28*'1.3. Factores de emisión'!$E$163)/1000</f>
        <v>8.6576181405895708E-2</v>
      </c>
      <c r="Q28" s="82">
        <f t="shared" si="10"/>
        <v>2.3070307265306131</v>
      </c>
      <c r="R28" s="5"/>
      <c r="S28" s="84" t="s">
        <v>793</v>
      </c>
      <c r="T28" s="84" t="s">
        <v>957</v>
      </c>
      <c r="U28" s="84" t="s">
        <v>955</v>
      </c>
      <c r="V28" s="84" t="s">
        <v>796</v>
      </c>
    </row>
    <row r="29" spans="2:22" ht="150" customHeight="1" thickBot="1">
      <c r="B29" s="58">
        <v>1</v>
      </c>
      <c r="C29" s="80" t="s">
        <v>912</v>
      </c>
      <c r="D29" s="111" t="s">
        <v>958</v>
      </c>
      <c r="E29" s="80" t="s">
        <v>959</v>
      </c>
      <c r="F29" s="5"/>
      <c r="G29" s="81">
        <f>'4.2. ANEXOS Transporte'!B113</f>
        <v>77416.128310280372</v>
      </c>
      <c r="H29" s="5" t="s">
        <v>784</v>
      </c>
      <c r="I29" s="57" t="s">
        <v>785</v>
      </c>
      <c r="J29" s="5">
        <f>'1.3. Factores de emisión'!E57</f>
        <v>1.4899999999999999E-4</v>
      </c>
      <c r="K29" s="5">
        <f>'1.3. Factores de emisión'!F31</f>
        <v>2.613</v>
      </c>
      <c r="L29" s="5">
        <f>'1.3. Factores de emisión'!G57</f>
        <v>1.54E-4</v>
      </c>
      <c r="M29" s="5"/>
      <c r="N29" s="82">
        <f>(G29*J29*'1.3. Factores de emisión'!$E$162)/1000</f>
        <v>0.24223506548286727</v>
      </c>
      <c r="O29" s="82">
        <f t="shared" ref="O29:O32" si="11">(G29*K29*1)/1000</f>
        <v>202.28834327476261</v>
      </c>
      <c r="P29" s="82">
        <f>(G29*L29*'1.3. Factores de emisión'!$E$163)/1000</f>
        <v>3.6958459655327851</v>
      </c>
      <c r="Q29" s="82">
        <f t="shared" ref="Q29:Q32" si="12">SUM(N29:P29)</f>
        <v>206.22642430577827</v>
      </c>
      <c r="R29" s="5"/>
      <c r="S29" s="84" t="s">
        <v>793</v>
      </c>
      <c r="T29" s="84" t="s">
        <v>960</v>
      </c>
      <c r="U29" s="84" t="s">
        <v>961</v>
      </c>
      <c r="V29" s="84" t="s">
        <v>962</v>
      </c>
    </row>
    <row r="30" spans="2:22" ht="150" customHeight="1" thickBot="1">
      <c r="B30" s="58">
        <v>1</v>
      </c>
      <c r="C30" s="80" t="s">
        <v>912</v>
      </c>
      <c r="D30" s="111" t="s">
        <v>913</v>
      </c>
      <c r="E30" s="80" t="s">
        <v>963</v>
      </c>
      <c r="F30" s="5"/>
      <c r="G30" s="81">
        <f>'4.2. ANEXOS Transporte'!D55</f>
        <v>4041203.4742187583</v>
      </c>
      <c r="H30" s="5" t="s">
        <v>784</v>
      </c>
      <c r="I30" s="57" t="s">
        <v>785</v>
      </c>
      <c r="J30" s="5">
        <f>J22</f>
        <v>9.0700000000000004E-4</v>
      </c>
      <c r="K30" s="5">
        <f t="shared" ref="K30:L30" si="13">K22</f>
        <v>2.2309999999999999</v>
      </c>
      <c r="L30" s="5">
        <f t="shared" si="13"/>
        <v>2.8299999999999999E-4</v>
      </c>
      <c r="M30" s="5"/>
      <c r="N30" s="82">
        <f>(G30*J30*'1.3. Factores de emisión'!$E$162)/1000</f>
        <v>76.972802573444696</v>
      </c>
      <c r="O30" s="82">
        <f t="shared" si="11"/>
        <v>9015.9249509820493</v>
      </c>
      <c r="P30" s="82">
        <f>(G30*L30*'1.3. Factores de emisión'!$E$163)/1000</f>
        <v>354.53478079321167</v>
      </c>
      <c r="Q30" s="82">
        <f t="shared" si="12"/>
        <v>9447.4325343487053</v>
      </c>
      <c r="R30" s="5"/>
      <c r="S30" s="84" t="s">
        <v>793</v>
      </c>
      <c r="T30" s="84" t="s">
        <v>945</v>
      </c>
      <c r="U30" s="84" t="s">
        <v>946</v>
      </c>
      <c r="V30" s="84" t="s">
        <v>796</v>
      </c>
    </row>
    <row r="31" spans="2:22" ht="150" customHeight="1" thickBot="1">
      <c r="B31" s="58">
        <v>1</v>
      </c>
      <c r="C31" s="80" t="s">
        <v>912</v>
      </c>
      <c r="D31" s="111" t="s">
        <v>846</v>
      </c>
      <c r="E31" s="80" t="s">
        <v>964</v>
      </c>
      <c r="F31" s="5"/>
      <c r="G31" s="81">
        <f>'4.2. ANEXOS Transporte'!C55</f>
        <v>1973325.2872291151</v>
      </c>
      <c r="H31" s="5" t="s">
        <v>784</v>
      </c>
      <c r="I31" s="57" t="s">
        <v>785</v>
      </c>
      <c r="J31" s="5">
        <f>J23</f>
        <v>1.4899999999999999E-4</v>
      </c>
      <c r="K31" s="5">
        <f t="shared" ref="K31:L31" si="14">K23</f>
        <v>2.613</v>
      </c>
      <c r="L31" s="5">
        <f t="shared" si="14"/>
        <v>1.54E-4</v>
      </c>
      <c r="M31" s="5"/>
      <c r="N31" s="82">
        <f>(G31*J31*'1.3. Factores de emisión'!$E$162)/1000</f>
        <v>6.1745348237399016</v>
      </c>
      <c r="O31" s="82">
        <f t="shared" si="11"/>
        <v>5156.2989755296785</v>
      </c>
      <c r="P31" s="82">
        <f>(G31*L31*'1.3. Factores de emisión'!$E$163)/1000</f>
        <v>94.206549212317952</v>
      </c>
      <c r="Q31" s="82">
        <f t="shared" si="12"/>
        <v>5256.6800595657369</v>
      </c>
      <c r="R31" s="5"/>
      <c r="S31" s="84" t="s">
        <v>793</v>
      </c>
      <c r="T31" s="84" t="s">
        <v>948</v>
      </c>
      <c r="U31" s="84" t="s">
        <v>946</v>
      </c>
      <c r="V31" s="84" t="s">
        <v>796</v>
      </c>
    </row>
    <row r="32" spans="2:22" ht="150" customHeight="1" thickBot="1">
      <c r="B32" s="58">
        <v>1</v>
      </c>
      <c r="C32" s="80" t="s">
        <v>912</v>
      </c>
      <c r="D32" s="111" t="s">
        <v>935</v>
      </c>
      <c r="E32" s="80" t="s">
        <v>965</v>
      </c>
      <c r="F32" s="5"/>
      <c r="G32" s="81">
        <f>'4.2. ANEXOS Transporte'!E55</f>
        <v>187440.50581458921</v>
      </c>
      <c r="H32" s="5" t="s">
        <v>784</v>
      </c>
      <c r="I32" s="57" t="s">
        <v>785</v>
      </c>
      <c r="J32" s="5">
        <f>J26</f>
        <v>1.5834999999999998E-3</v>
      </c>
      <c r="K32" s="5">
        <f t="shared" ref="K32:L32" si="15">K26</f>
        <v>1.611</v>
      </c>
      <c r="L32" s="5">
        <f t="shared" si="15"/>
        <v>5.1000000000000003E-6</v>
      </c>
      <c r="M32" s="5"/>
      <c r="N32" s="82">
        <f>(G32*J32*'1.3. Factores de emisión'!$E$162)/1000</f>
        <v>6.2330528601054409</v>
      </c>
      <c r="O32" s="82">
        <f t="shared" si="11"/>
        <v>301.96665486730319</v>
      </c>
      <c r="P32" s="82">
        <f>(G32*L32*'1.3. Factores de emisión'!$E$163)/1000</f>
        <v>0.29634343969286558</v>
      </c>
      <c r="Q32" s="82">
        <f t="shared" si="12"/>
        <v>308.49605116710148</v>
      </c>
      <c r="R32" s="5"/>
      <c r="S32" s="84" t="s">
        <v>793</v>
      </c>
      <c r="T32" s="84" t="s">
        <v>952</v>
      </c>
      <c r="U32" s="84" t="s">
        <v>946</v>
      </c>
      <c r="V32" s="84" t="s">
        <v>796</v>
      </c>
    </row>
    <row r="33" spans="2:22" ht="19.5" thickBot="1">
      <c r="C33" s="64"/>
      <c r="M33" s="69" t="s">
        <v>810</v>
      </c>
      <c r="N33" s="82">
        <f>SUM(N10:N29)</f>
        <v>222.85181409029136</v>
      </c>
      <c r="O33" s="82">
        <f t="shared" ref="O33:P33" si="16">SUM(O10:O29)</f>
        <v>48271.669513989407</v>
      </c>
      <c r="P33" s="82">
        <f t="shared" si="16"/>
        <v>1310.0780856309009</v>
      </c>
      <c r="Q33" s="95">
        <f>SUM(Q10:Q32)</f>
        <v>64817.208058792145</v>
      </c>
      <c r="R33" s="82"/>
    </row>
    <row r="34" spans="2:22">
      <c r="B34" s="60" t="s">
        <v>811</v>
      </c>
      <c r="G34" s="92"/>
    </row>
    <row r="35" spans="2:22" ht="16.5" thickBot="1"/>
    <row r="36" spans="2:22" ht="24.75" customHeight="1" thickBot="1">
      <c r="B36" s="337" t="s">
        <v>764</v>
      </c>
      <c r="C36" s="338"/>
      <c r="D36" s="338"/>
      <c r="E36" s="339"/>
      <c r="F36" s="333" t="s">
        <v>765</v>
      </c>
      <c r="G36" s="308" t="s">
        <v>766</v>
      </c>
      <c r="H36" s="310"/>
      <c r="I36" s="308" t="s">
        <v>767</v>
      </c>
      <c r="J36" s="309"/>
      <c r="K36" s="309"/>
      <c r="L36" s="309"/>
      <c r="M36" s="309" t="s">
        <v>768</v>
      </c>
      <c r="N36" s="309"/>
      <c r="O36" s="309"/>
      <c r="P36" s="309"/>
      <c r="Q36" s="309"/>
      <c r="R36" s="310"/>
      <c r="S36" s="333" t="s">
        <v>769</v>
      </c>
      <c r="T36" s="333" t="s">
        <v>770</v>
      </c>
      <c r="U36" s="335" t="s">
        <v>771</v>
      </c>
      <c r="V36" s="266" t="s">
        <v>772</v>
      </c>
    </row>
    <row r="37" spans="2:22" ht="16.5" thickBot="1">
      <c r="B37" s="51" t="s">
        <v>773</v>
      </c>
      <c r="C37" s="51" t="s">
        <v>774</v>
      </c>
      <c r="D37" s="51" t="s">
        <v>775</v>
      </c>
      <c r="E37" s="51" t="s">
        <v>24</v>
      </c>
      <c r="F37" s="334"/>
      <c r="G37" s="51" t="s">
        <v>776</v>
      </c>
      <c r="H37" s="51" t="s">
        <v>256</v>
      </c>
      <c r="I37" s="51" t="s">
        <v>777</v>
      </c>
      <c r="J37" s="51" t="s">
        <v>259</v>
      </c>
      <c r="K37" s="51" t="s">
        <v>778</v>
      </c>
      <c r="L37" s="51" t="s">
        <v>261</v>
      </c>
      <c r="M37" s="51" t="s">
        <v>779</v>
      </c>
      <c r="N37" s="51" t="s">
        <v>259</v>
      </c>
      <c r="O37" s="51" t="s">
        <v>778</v>
      </c>
      <c r="P37" s="51" t="s">
        <v>261</v>
      </c>
      <c r="Q37" s="51" t="s">
        <v>780</v>
      </c>
      <c r="R37" s="51" t="s">
        <v>779</v>
      </c>
      <c r="S37" s="334"/>
      <c r="T37" s="334"/>
      <c r="U37" s="336"/>
      <c r="V37" s="266"/>
    </row>
    <row r="38" spans="2:22" ht="141.75" customHeight="1" thickBot="1">
      <c r="B38" s="58">
        <v>2</v>
      </c>
      <c r="C38" s="57" t="s">
        <v>966</v>
      </c>
      <c r="D38" s="57" t="s">
        <v>967</v>
      </c>
      <c r="E38" s="57" t="s">
        <v>968</v>
      </c>
      <c r="F38" s="5"/>
      <c r="G38" s="81">
        <f>'4.2. ANEXOS Transporte'!C226</f>
        <v>60498.394107509375</v>
      </c>
      <c r="H38" s="5" t="s">
        <v>815</v>
      </c>
      <c r="I38" s="5" t="s">
        <v>281</v>
      </c>
      <c r="J38" s="5"/>
      <c r="K38" s="5">
        <f>'1.3. Factores de emisión'!F29</f>
        <v>0.04</v>
      </c>
      <c r="L38" s="5"/>
      <c r="M38" s="5"/>
      <c r="N38" s="5"/>
      <c r="O38" s="82">
        <f>(G38*K38*1)/1000</f>
        <v>2.4199357643003752</v>
      </c>
      <c r="P38" s="5"/>
      <c r="Q38" s="82">
        <f>SUM(N38:P38)</f>
        <v>2.4199357643003752</v>
      </c>
      <c r="R38" s="5"/>
      <c r="S38" s="84" t="s">
        <v>793</v>
      </c>
      <c r="T38" s="84" t="s">
        <v>969</v>
      </c>
      <c r="U38" s="84" t="s">
        <v>795</v>
      </c>
      <c r="V38" s="84" t="s">
        <v>970</v>
      </c>
    </row>
    <row r="39" spans="2:22" ht="150" customHeight="1" thickBot="1">
      <c r="B39" s="58">
        <v>2</v>
      </c>
      <c r="C39" s="57" t="s">
        <v>966</v>
      </c>
      <c r="D39" s="57" t="s">
        <v>967</v>
      </c>
      <c r="E39" s="57" t="s">
        <v>971</v>
      </c>
      <c r="F39" s="5"/>
      <c r="G39" s="81">
        <f>'4.2. ANEXOS Transporte'!C229</f>
        <v>22473.774716243955</v>
      </c>
      <c r="H39" s="5" t="s">
        <v>815</v>
      </c>
      <c r="I39" s="5" t="s">
        <v>281</v>
      </c>
      <c r="J39" s="5"/>
      <c r="K39" s="5">
        <f>'1.3. Factores de emisión'!F29</f>
        <v>0.04</v>
      </c>
      <c r="L39" s="5"/>
      <c r="M39" s="5"/>
      <c r="N39" s="5"/>
      <c r="O39" s="82">
        <f>(G39*K39*1)/1000</f>
        <v>0.8989509886497582</v>
      </c>
      <c r="P39" s="5"/>
      <c r="Q39" s="82">
        <f>SUM(N39:P39)</f>
        <v>0.8989509886497582</v>
      </c>
      <c r="R39" s="5"/>
      <c r="S39" s="84" t="s">
        <v>793</v>
      </c>
      <c r="T39" s="84" t="s">
        <v>972</v>
      </c>
      <c r="U39" s="84" t="s">
        <v>795</v>
      </c>
      <c r="V39" s="84" t="s">
        <v>796</v>
      </c>
    </row>
    <row r="40" spans="2:22" ht="19.5" thickBot="1">
      <c r="C40" s="64"/>
      <c r="M40" s="69" t="s">
        <v>810</v>
      </c>
      <c r="N40" s="82">
        <f>SUM(N38:N39)</f>
        <v>0</v>
      </c>
      <c r="O40" s="82">
        <f>SUM(O38:O39)</f>
        <v>3.3188867529501334</v>
      </c>
      <c r="P40" s="82">
        <f>SUM(P38:P39)</f>
        <v>0</v>
      </c>
      <c r="Q40" s="95">
        <f>SUM(Q38:Q39)</f>
        <v>3.3188867529501334</v>
      </c>
      <c r="R40" s="82"/>
    </row>
    <row r="41" spans="2:22">
      <c r="B41" s="60" t="s">
        <v>811</v>
      </c>
    </row>
    <row r="42" spans="2:22" ht="16.5" thickBot="1"/>
    <row r="43" spans="2:22" ht="16.5" thickBot="1">
      <c r="B43" s="337" t="s">
        <v>764</v>
      </c>
      <c r="C43" s="338"/>
      <c r="D43" s="338"/>
      <c r="E43" s="339"/>
      <c r="F43" s="333" t="s">
        <v>765</v>
      </c>
      <c r="G43" s="308" t="s">
        <v>766</v>
      </c>
      <c r="H43" s="310"/>
      <c r="I43" s="308" t="s">
        <v>767</v>
      </c>
      <c r="J43" s="309"/>
      <c r="K43" s="309"/>
      <c r="L43" s="309"/>
      <c r="M43" s="309" t="s">
        <v>768</v>
      </c>
      <c r="N43" s="309"/>
      <c r="O43" s="309"/>
      <c r="P43" s="309"/>
      <c r="Q43" s="309"/>
      <c r="R43" s="310"/>
      <c r="S43" s="333" t="s">
        <v>769</v>
      </c>
      <c r="T43" s="333" t="s">
        <v>770</v>
      </c>
      <c r="U43" s="335" t="s">
        <v>771</v>
      </c>
      <c r="V43" s="266" t="s">
        <v>772</v>
      </c>
    </row>
    <row r="44" spans="2:22" ht="16.5" thickBot="1">
      <c r="B44" s="51" t="s">
        <v>773</v>
      </c>
      <c r="C44" s="51" t="s">
        <v>774</v>
      </c>
      <c r="D44" s="51" t="s">
        <v>775</v>
      </c>
      <c r="E44" s="51" t="s">
        <v>24</v>
      </c>
      <c r="F44" s="334"/>
      <c r="G44" s="51" t="s">
        <v>776</v>
      </c>
      <c r="H44" s="51" t="s">
        <v>256</v>
      </c>
      <c r="I44" s="51" t="s">
        <v>777</v>
      </c>
      <c r="J44" s="51" t="s">
        <v>259</v>
      </c>
      <c r="K44" s="51" t="s">
        <v>778</v>
      </c>
      <c r="L44" s="51" t="s">
        <v>261</v>
      </c>
      <c r="M44" s="51" t="s">
        <v>779</v>
      </c>
      <c r="N44" s="51" t="s">
        <v>259</v>
      </c>
      <c r="O44" s="51" t="s">
        <v>778</v>
      </c>
      <c r="P44" s="51" t="s">
        <v>261</v>
      </c>
      <c r="Q44" s="51" t="s">
        <v>780</v>
      </c>
      <c r="R44" s="51" t="s">
        <v>779</v>
      </c>
      <c r="S44" s="334"/>
      <c r="T44" s="334"/>
      <c r="U44" s="336"/>
      <c r="V44" s="266"/>
    </row>
    <row r="45" spans="2:22" ht="119.25" customHeight="1" thickBot="1">
      <c r="B45" s="59">
        <v>3</v>
      </c>
      <c r="C45" s="57" t="s">
        <v>973</v>
      </c>
      <c r="D45" s="80" t="s">
        <v>921</v>
      </c>
      <c r="E45" s="80" t="s">
        <v>922</v>
      </c>
      <c r="F45" s="5"/>
      <c r="G45" s="81">
        <f>'4.2. ANEXOS Transporte'!D132</f>
        <v>3.634615384615385</v>
      </c>
      <c r="H45" s="5" t="s">
        <v>792</v>
      </c>
      <c r="I45" s="5" t="s">
        <v>785</v>
      </c>
      <c r="J45" s="5">
        <f>'1.3. Factores de emisión'!E57</f>
        <v>1.4899999999999999E-4</v>
      </c>
      <c r="K45" s="5">
        <f>'1.3. Factores de emisión'!F31</f>
        <v>2.613</v>
      </c>
      <c r="L45" s="5">
        <f>'1.3. Factores de emisión'!G57</f>
        <v>1.54E-4</v>
      </c>
      <c r="M45" s="5"/>
      <c r="N45" s="112">
        <f>(G45*J45*'1.3. Factores de emisión'!$E$162)/1000</f>
        <v>1.1372711538461539E-5</v>
      </c>
      <c r="O45" s="112">
        <f>(G45*K45*1)/1000</f>
        <v>9.4972500000000005E-3</v>
      </c>
      <c r="P45" s="112">
        <f>(G45*L45*'1.3. Factores de emisión'!$E$163)/1000</f>
        <v>1.7351653846153848E-4</v>
      </c>
      <c r="Q45" s="113">
        <f>SUM(N45:P45)</f>
        <v>9.6821392499999992E-3</v>
      </c>
      <c r="R45" s="5"/>
      <c r="S45" s="94" t="s">
        <v>793</v>
      </c>
      <c r="T45" s="84" t="s">
        <v>974</v>
      </c>
      <c r="U45" s="94" t="s">
        <v>924</v>
      </c>
      <c r="V45" s="84" t="s">
        <v>975</v>
      </c>
    </row>
    <row r="46" spans="2:22" ht="112.5" customHeight="1" thickBot="1">
      <c r="B46" s="59">
        <v>3</v>
      </c>
      <c r="C46" s="57" t="s">
        <v>973</v>
      </c>
      <c r="D46" s="80" t="s">
        <v>921</v>
      </c>
      <c r="E46" s="80" t="s">
        <v>926</v>
      </c>
      <c r="F46" s="5"/>
      <c r="G46" s="81">
        <f>'4.2. ANEXOS Transporte'!F151</f>
        <v>12979.439393939394</v>
      </c>
      <c r="H46" s="5" t="s">
        <v>792</v>
      </c>
      <c r="I46" s="5" t="str">
        <f t="shared" ref="I46:L47" si="17">I45</f>
        <v>kg de GEI/L de combustible</v>
      </c>
      <c r="J46" s="5">
        <f t="shared" si="17"/>
        <v>1.4899999999999999E-4</v>
      </c>
      <c r="K46" s="5">
        <f t="shared" si="17"/>
        <v>2.613</v>
      </c>
      <c r="L46" s="5">
        <f t="shared" si="17"/>
        <v>1.54E-4</v>
      </c>
      <c r="M46" s="5"/>
      <c r="N46" s="112">
        <f>(G46*J46*'1.3. Factores de emisión'!$E$162)/1000</f>
        <v>4.0612665863636363E-2</v>
      </c>
      <c r="O46" s="112">
        <f t="shared" ref="O46:O51" si="18">(G46*K46*1)/1000</f>
        <v>33.915275136363633</v>
      </c>
      <c r="P46" s="112">
        <f>(G46*L46*'1.3. Factores de emisión'!$E$163)/1000</f>
        <v>0.61963843666666663</v>
      </c>
      <c r="Q46" s="113">
        <f t="shared" ref="Q46:Q51" si="19">SUM(N46:P46)</f>
        <v>34.575526238893936</v>
      </c>
      <c r="R46" s="5"/>
      <c r="S46" s="94" t="s">
        <v>793</v>
      </c>
      <c r="T46" s="84" t="s">
        <v>927</v>
      </c>
      <c r="U46" s="94" t="s">
        <v>924</v>
      </c>
      <c r="V46" s="84" t="s">
        <v>975</v>
      </c>
    </row>
    <row r="47" spans="2:22" ht="142.5" customHeight="1" thickBot="1">
      <c r="B47" s="59">
        <v>3</v>
      </c>
      <c r="C47" s="57" t="s">
        <v>973</v>
      </c>
      <c r="D47" s="80" t="s">
        <v>921</v>
      </c>
      <c r="E47" s="80" t="s">
        <v>929</v>
      </c>
      <c r="F47" s="5"/>
      <c r="G47" s="81">
        <f>'4.2. ANEXOS Transporte'!K171</f>
        <v>93947.216521739116</v>
      </c>
      <c r="H47" s="5" t="str">
        <f>H46</f>
        <v>Litros</v>
      </c>
      <c r="I47" s="5" t="str">
        <f t="shared" si="17"/>
        <v>kg de GEI/L de combustible</v>
      </c>
      <c r="J47" s="5">
        <f t="shared" si="17"/>
        <v>1.4899999999999999E-4</v>
      </c>
      <c r="K47" s="5">
        <f t="shared" si="17"/>
        <v>2.613</v>
      </c>
      <c r="L47" s="5">
        <f t="shared" si="17"/>
        <v>1.54E-4</v>
      </c>
      <c r="M47" s="5"/>
      <c r="N47" s="112">
        <f>(G47*J47*'1.3. Factores de emisión'!$E$162)/1000</f>
        <v>0.29396084049652166</v>
      </c>
      <c r="O47" s="112">
        <f t="shared" si="18"/>
        <v>245.4840767713043</v>
      </c>
      <c r="P47" s="112">
        <f>(G47*L47*'1.3. Factores de emisión'!$E$163)/1000</f>
        <v>4.4850401167478262</v>
      </c>
      <c r="Q47" s="113">
        <f t="shared" si="19"/>
        <v>250.26307772854864</v>
      </c>
      <c r="R47" s="5"/>
      <c r="S47" s="94" t="s">
        <v>793</v>
      </c>
      <c r="T47" s="84" t="s">
        <v>930</v>
      </c>
      <c r="U47" s="94" t="s">
        <v>924</v>
      </c>
      <c r="V47" s="84" t="s">
        <v>976</v>
      </c>
    </row>
    <row r="48" spans="2:22" ht="180.75" customHeight="1" thickBot="1">
      <c r="B48" s="59">
        <v>3</v>
      </c>
      <c r="C48" s="57" t="s">
        <v>973</v>
      </c>
      <c r="D48" s="80" t="s">
        <v>977</v>
      </c>
      <c r="E48" s="80" t="s">
        <v>978</v>
      </c>
      <c r="F48" s="5"/>
      <c r="G48" s="81">
        <f>'4.2. ANEXOS Transporte'!D123</f>
        <v>1255176.918584561</v>
      </c>
      <c r="H48" s="5" t="str">
        <f t="shared" ref="H48:I50" si="20">H47</f>
        <v>Litros</v>
      </c>
      <c r="I48" s="5" t="str">
        <f t="shared" si="20"/>
        <v>kg de GEI/L de combustible</v>
      </c>
      <c r="J48" s="5">
        <f>'1.3. Factores de emisión'!E56</f>
        <v>9.0700000000000004E-4</v>
      </c>
      <c r="K48" s="5">
        <f>'1.3. Factores de emisión'!F30</f>
        <v>2.2309999999999999</v>
      </c>
      <c r="L48" s="5">
        <f>'1.3. Factores de emisión'!G56</f>
        <v>2.8299999999999999E-4</v>
      </c>
      <c r="M48" s="5"/>
      <c r="N48" s="112">
        <f>(G48*J48*'1.3. Factores de emisión'!$E$162)/1000</f>
        <v>23.907354768280133</v>
      </c>
      <c r="O48" s="112">
        <f t="shared" si="18"/>
        <v>2800.2997053621557</v>
      </c>
      <c r="P48" s="112">
        <f>(G48*L48*'1.3. Factores de emisión'!$E$163)/1000</f>
        <v>110.11667106742354</v>
      </c>
      <c r="Q48" s="113">
        <f t="shared" si="19"/>
        <v>2934.3237311978592</v>
      </c>
      <c r="R48" s="5"/>
      <c r="S48" s="84" t="s">
        <v>793</v>
      </c>
      <c r="T48" s="84" t="s">
        <v>979</v>
      </c>
      <c r="U48" s="84" t="s">
        <v>795</v>
      </c>
      <c r="V48" s="84" t="s">
        <v>796</v>
      </c>
    </row>
    <row r="49" spans="2:22" ht="173.25" customHeight="1" thickBot="1">
      <c r="B49" s="59">
        <v>3</v>
      </c>
      <c r="C49" s="57" t="s">
        <v>973</v>
      </c>
      <c r="D49" s="80" t="s">
        <v>921</v>
      </c>
      <c r="E49" s="80" t="s">
        <v>980</v>
      </c>
      <c r="F49" s="5"/>
      <c r="G49" s="81">
        <f>'4.2. ANEXOS Transporte'!C123</f>
        <v>614275.11330462969</v>
      </c>
      <c r="H49" s="5" t="str">
        <f t="shared" si="20"/>
        <v>Litros</v>
      </c>
      <c r="I49" s="5" t="str">
        <f t="shared" si="20"/>
        <v>kg de GEI/L de combustible</v>
      </c>
      <c r="J49" s="5">
        <f>'1.3. Factores de emisión'!E57</f>
        <v>1.4899999999999999E-4</v>
      </c>
      <c r="K49" s="5">
        <f>'1.3. Factores de emisión'!F31</f>
        <v>2.613</v>
      </c>
      <c r="L49" s="5">
        <f>'1.3. Factores de emisión'!G57</f>
        <v>1.54E-4</v>
      </c>
      <c r="M49" s="5"/>
      <c r="N49" s="112">
        <f>(G49*J49*'1.3. Factores de emisión'!$E$162)/1000</f>
        <v>1.9220668295301861</v>
      </c>
      <c r="O49" s="112">
        <f t="shared" si="18"/>
        <v>1605.1008710649974</v>
      </c>
      <c r="P49" s="112">
        <f>(G49*L49*'1.3. Factores de emisión'!$E$163)/1000</f>
        <v>29.325493909163018</v>
      </c>
      <c r="Q49" s="113">
        <f t="shared" si="19"/>
        <v>1636.3484318036906</v>
      </c>
      <c r="R49" s="5"/>
      <c r="S49" s="84" t="s">
        <v>793</v>
      </c>
      <c r="T49" s="84" t="s">
        <v>979</v>
      </c>
      <c r="U49" s="84" t="s">
        <v>795</v>
      </c>
      <c r="V49" s="84" t="s">
        <v>796</v>
      </c>
    </row>
    <row r="50" spans="2:22" ht="181.5" customHeight="1" thickBot="1">
      <c r="B50" s="59">
        <v>3</v>
      </c>
      <c r="C50" s="57" t="s">
        <v>973</v>
      </c>
      <c r="D50" s="80" t="s">
        <v>981</v>
      </c>
      <c r="E50" s="80" t="s">
        <v>982</v>
      </c>
      <c r="F50" s="5"/>
      <c r="G50" s="81">
        <f>'4.2. ANEXOS Transporte'!E123</f>
        <v>58348.230113044418</v>
      </c>
      <c r="H50" s="5" t="str">
        <f t="shared" si="20"/>
        <v>Litros</v>
      </c>
      <c r="I50" s="5" t="str">
        <f t="shared" si="20"/>
        <v>kg de GEI/L de combustible</v>
      </c>
      <c r="J50" s="5">
        <f>'1.3. Factores de emisión'!E58</f>
        <v>1.5834999999999998E-3</v>
      </c>
      <c r="K50" s="5">
        <f>'1.3. Factores de emisión'!F34</f>
        <v>1.611</v>
      </c>
      <c r="L50" s="5">
        <f>'1.3. Factores de emisión'!G58</f>
        <v>5.1000000000000003E-6</v>
      </c>
      <c r="M50" s="5"/>
      <c r="N50" s="112">
        <f>(G50*J50*'1.3. Factores de emisión'!$E$162)/1000</f>
        <v>1.9402828700641224</v>
      </c>
      <c r="O50" s="112">
        <f t="shared" si="18"/>
        <v>93.998998712114556</v>
      </c>
      <c r="P50" s="112">
        <f>(G50*L50*'1.3. Factores de emisión'!$E$163)/1000</f>
        <v>9.2248551808723239E-2</v>
      </c>
      <c r="Q50" s="113">
        <f t="shared" si="19"/>
        <v>96.031530133987403</v>
      </c>
      <c r="R50" s="5"/>
      <c r="S50" s="84" t="s">
        <v>793</v>
      </c>
      <c r="T50" s="84" t="s">
        <v>979</v>
      </c>
      <c r="U50" s="84" t="s">
        <v>795</v>
      </c>
      <c r="V50" s="84" t="s">
        <v>796</v>
      </c>
    </row>
    <row r="51" spans="2:22" ht="181.5" customHeight="1" thickBot="1">
      <c r="B51" s="59">
        <v>3</v>
      </c>
      <c r="C51" s="80" t="s">
        <v>912</v>
      </c>
      <c r="D51" s="80" t="s">
        <v>921</v>
      </c>
      <c r="E51" s="80" t="s">
        <v>983</v>
      </c>
      <c r="F51" s="5"/>
      <c r="G51" s="81">
        <f>'4.2. ANEXOS Transporte'!B237</f>
        <v>248621.97131232265</v>
      </c>
      <c r="H51" s="5" t="s">
        <v>784</v>
      </c>
      <c r="I51" s="57" t="s">
        <v>785</v>
      </c>
      <c r="J51" s="5">
        <f>'1.3. Factores de emisión'!E57</f>
        <v>1.4899999999999999E-4</v>
      </c>
      <c r="K51" s="5">
        <f>'1.3. Factores de emisión'!F31</f>
        <v>2.613</v>
      </c>
      <c r="L51" s="5">
        <f>'1.3. Factores de emisión'!G57</f>
        <v>1.54E-4</v>
      </c>
      <c r="M51" s="5"/>
      <c r="N51" s="82">
        <f>(G51*J51*'1.3. Factores de emisión'!$E$162)/1000</f>
        <v>0.77793814823625751</v>
      </c>
      <c r="O51" s="82">
        <f t="shared" si="18"/>
        <v>649.6492110390991</v>
      </c>
      <c r="P51" s="82">
        <f>(G51*L51*'1.3. Factores de emisión'!$E$163)/1000</f>
        <v>11.869212910450283</v>
      </c>
      <c r="Q51" s="82">
        <f t="shared" si="19"/>
        <v>662.29636209778562</v>
      </c>
      <c r="R51" s="5"/>
      <c r="S51" s="84" t="s">
        <v>793</v>
      </c>
      <c r="T51" s="84" t="s">
        <v>960</v>
      </c>
      <c r="U51" s="84" t="s">
        <v>961</v>
      </c>
      <c r="V51" s="84" t="s">
        <v>962</v>
      </c>
    </row>
    <row r="52" spans="2:22" ht="19.5" thickBot="1">
      <c r="C52" s="64"/>
      <c r="M52" s="69" t="s">
        <v>810</v>
      </c>
      <c r="N52" s="82">
        <f>SUM(N45:N51)</f>
        <v>28.882227495182395</v>
      </c>
      <c r="O52" s="82">
        <f>SUM(O45:O51)</f>
        <v>5428.4576353360344</v>
      </c>
      <c r="P52" s="82">
        <f>SUM(P45:P51)</f>
        <v>156.5084785087985</v>
      </c>
      <c r="Q52" s="95">
        <f>SUM(Q45:Q51)</f>
        <v>5613.8483413400145</v>
      </c>
      <c r="R52" s="82"/>
    </row>
    <row r="53" spans="2:22">
      <c r="B53" s="60" t="s">
        <v>811</v>
      </c>
    </row>
    <row r="55" spans="2:22">
      <c r="B55" s="342" t="s">
        <v>984</v>
      </c>
      <c r="C55" s="342"/>
    </row>
    <row r="56" spans="2:22" ht="16.5" thickBot="1"/>
    <row r="57" spans="2:22" ht="16.5" thickBot="1">
      <c r="B57" s="266" t="s">
        <v>764</v>
      </c>
      <c r="C57" s="266"/>
      <c r="D57" s="266"/>
      <c r="E57" s="266"/>
      <c r="F57" s="340" t="s">
        <v>765</v>
      </c>
      <c r="G57" s="266" t="s">
        <v>766</v>
      </c>
      <c r="H57" s="266"/>
      <c r="I57" s="308" t="s">
        <v>767</v>
      </c>
      <c r="J57" s="309"/>
      <c r="K57" s="309"/>
      <c r="L57" s="309"/>
      <c r="M57" s="310"/>
      <c r="N57" s="308" t="s">
        <v>768</v>
      </c>
      <c r="O57" s="309"/>
      <c r="P57" s="309"/>
      <c r="Q57" s="309"/>
      <c r="R57" s="310"/>
      <c r="S57" s="340" t="s">
        <v>769</v>
      </c>
      <c r="T57" s="340" t="s">
        <v>770</v>
      </c>
      <c r="U57" s="266" t="s">
        <v>771</v>
      </c>
      <c r="V57" s="266" t="s">
        <v>772</v>
      </c>
    </row>
    <row r="58" spans="2:22" ht="16.5" thickBot="1">
      <c r="B58" s="51" t="s">
        <v>773</v>
      </c>
      <c r="C58" s="51" t="s">
        <v>774</v>
      </c>
      <c r="D58" s="51" t="s">
        <v>775</v>
      </c>
      <c r="E58" s="51" t="s">
        <v>24</v>
      </c>
      <c r="F58" s="340"/>
      <c r="G58" s="51" t="s">
        <v>776</v>
      </c>
      <c r="H58" s="51" t="s">
        <v>256</v>
      </c>
      <c r="I58" s="51" t="s">
        <v>777</v>
      </c>
      <c r="J58" s="51" t="s">
        <v>259</v>
      </c>
      <c r="K58" s="51" t="s">
        <v>778</v>
      </c>
      <c r="L58" s="51" t="s">
        <v>261</v>
      </c>
      <c r="M58" s="51" t="s">
        <v>779</v>
      </c>
      <c r="N58" s="51" t="s">
        <v>259</v>
      </c>
      <c r="O58" s="51" t="s">
        <v>778</v>
      </c>
      <c r="P58" s="51" t="s">
        <v>261</v>
      </c>
      <c r="Q58" s="51" t="s">
        <v>780</v>
      </c>
      <c r="R58" s="51" t="s">
        <v>779</v>
      </c>
      <c r="S58" s="340"/>
      <c r="T58" s="340"/>
      <c r="U58" s="266"/>
      <c r="V58" s="266"/>
    </row>
    <row r="59" spans="2:22" ht="105" customHeight="1" thickBot="1">
      <c r="B59" s="58">
        <v>1</v>
      </c>
      <c r="C59" s="57" t="s">
        <v>985</v>
      </c>
      <c r="D59" s="57" t="s">
        <v>986</v>
      </c>
      <c r="E59" s="57" t="s">
        <v>987</v>
      </c>
      <c r="F59" s="5"/>
      <c r="G59" s="81">
        <f>'4.2. ANEXOS Transporte'!G103</f>
        <v>81170.948571428569</v>
      </c>
      <c r="H59" s="5" t="str">
        <f>H12</f>
        <v>Litros</v>
      </c>
      <c r="I59" s="5" t="str">
        <f>I12</f>
        <v>kg de GEI/L de combustible</v>
      </c>
      <c r="J59" s="5">
        <f>'1.3. Factores de emisión'!E57</f>
        <v>1.4899999999999999E-4</v>
      </c>
      <c r="K59" s="5">
        <f>'1.3. Factores de emisión'!F31</f>
        <v>2.613</v>
      </c>
      <c r="L59" s="5">
        <f>'1.3. Factores de emisión'!G57</f>
        <v>1.54E-4</v>
      </c>
      <c r="M59" s="5"/>
      <c r="N59" s="112">
        <f>(G59*J59*'1.3. Factores de emisión'!$E$162)/1000</f>
        <v>0.25398389807999999</v>
      </c>
      <c r="O59" s="112">
        <f t="shared" ref="O59:O60" si="21">(G59*K59*1)/1000</f>
        <v>212.09968861714285</v>
      </c>
      <c r="P59" s="112">
        <f>(G59*L59*'1.3. Factores de emisión'!$E$163)/1000</f>
        <v>3.8751010848000003</v>
      </c>
      <c r="Q59" s="113">
        <f t="shared" ref="Q59:Q60" si="22">SUM(N59:P59)</f>
        <v>216.22877360002286</v>
      </c>
      <c r="R59" s="5"/>
      <c r="S59" s="94" t="s">
        <v>793</v>
      </c>
      <c r="T59" s="84" t="s">
        <v>988</v>
      </c>
      <c r="U59" s="94" t="s">
        <v>232</v>
      </c>
      <c r="V59" s="84" t="s">
        <v>925</v>
      </c>
    </row>
    <row r="60" spans="2:22" ht="105.75" customHeight="1" thickBot="1">
      <c r="B60" s="58">
        <v>1</v>
      </c>
      <c r="C60" s="57" t="s">
        <v>985</v>
      </c>
      <c r="D60" s="57" t="s">
        <v>986</v>
      </c>
      <c r="E60" s="57" t="s">
        <v>989</v>
      </c>
      <c r="F60" s="5"/>
      <c r="G60" s="81">
        <f>'4.2. ANEXOS Transporte'!G104</f>
        <v>3223.44</v>
      </c>
      <c r="H60" s="5" t="str">
        <f>H59</f>
        <v>Litros</v>
      </c>
      <c r="I60" s="5" t="str">
        <f>I59</f>
        <v>kg de GEI/L de combustible</v>
      </c>
      <c r="J60" s="5">
        <f>J59</f>
        <v>1.4899999999999999E-4</v>
      </c>
      <c r="K60" s="5">
        <f>K59</f>
        <v>2.613</v>
      </c>
      <c r="L60" s="5">
        <f>L59</f>
        <v>1.54E-4</v>
      </c>
      <c r="M60" s="5"/>
      <c r="N60" s="112">
        <f>(G60*J60*'1.3. Factores de emisión'!$E$162)/1000</f>
        <v>1.0086143759999999E-2</v>
      </c>
      <c r="O60" s="112">
        <f t="shared" si="21"/>
        <v>8.4228487199999993</v>
      </c>
      <c r="P60" s="112">
        <f>(G60*L60*'1.3. Factores de emisión'!$E$163)/1000</f>
        <v>0.1538870256</v>
      </c>
      <c r="Q60" s="113">
        <f t="shared" si="22"/>
        <v>8.5868218893599995</v>
      </c>
      <c r="R60" s="5"/>
      <c r="S60" s="94" t="s">
        <v>793</v>
      </c>
      <c r="T60" s="84" t="s">
        <v>988</v>
      </c>
      <c r="U60" s="94" t="s">
        <v>232</v>
      </c>
      <c r="V60" s="84" t="s">
        <v>925</v>
      </c>
    </row>
    <row r="61" spans="2:22" ht="19.5" thickBot="1">
      <c r="C61" s="64"/>
      <c r="M61" s="69" t="s">
        <v>810</v>
      </c>
      <c r="N61" s="82">
        <f>SUM(N59:N60)</f>
        <v>0.26407004183999999</v>
      </c>
      <c r="O61" s="82">
        <f>SUM(O59:O60)</f>
        <v>220.52253733714284</v>
      </c>
      <c r="P61" s="82">
        <f>SUM(P59:P60)</f>
        <v>4.0289881104000003</v>
      </c>
      <c r="Q61" s="95">
        <f>SUM(Q59:Q60)</f>
        <v>224.81559548938287</v>
      </c>
      <c r="R61" s="82"/>
    </row>
    <row r="62" spans="2:22">
      <c r="B62" s="60" t="s">
        <v>811</v>
      </c>
    </row>
    <row r="63" spans="2:22" ht="16.5" thickBot="1"/>
    <row r="64" spans="2:22" ht="16.5" thickBot="1">
      <c r="B64" s="337" t="s">
        <v>764</v>
      </c>
      <c r="C64" s="338"/>
      <c r="D64" s="338"/>
      <c r="E64" s="339"/>
      <c r="F64" s="333" t="s">
        <v>765</v>
      </c>
      <c r="G64" s="308" t="s">
        <v>766</v>
      </c>
      <c r="H64" s="310"/>
      <c r="I64" s="308" t="s">
        <v>767</v>
      </c>
      <c r="J64" s="309"/>
      <c r="K64" s="309"/>
      <c r="L64" s="309"/>
      <c r="M64" s="309" t="s">
        <v>768</v>
      </c>
      <c r="N64" s="309"/>
      <c r="O64" s="309"/>
      <c r="P64" s="309"/>
      <c r="Q64" s="309"/>
      <c r="R64" s="310"/>
      <c r="S64" s="333" t="s">
        <v>769</v>
      </c>
      <c r="T64" s="333" t="s">
        <v>770</v>
      </c>
      <c r="U64" s="335" t="s">
        <v>771</v>
      </c>
      <c r="V64" s="266" t="s">
        <v>772</v>
      </c>
    </row>
    <row r="65" spans="2:22" ht="16.5" thickBot="1">
      <c r="B65" s="51" t="s">
        <v>773</v>
      </c>
      <c r="C65" s="51" t="s">
        <v>774</v>
      </c>
      <c r="D65" s="51" t="s">
        <v>775</v>
      </c>
      <c r="E65" s="51" t="s">
        <v>24</v>
      </c>
      <c r="F65" s="334"/>
      <c r="G65" s="51" t="s">
        <v>776</v>
      </c>
      <c r="H65" s="51" t="s">
        <v>256</v>
      </c>
      <c r="I65" s="51" t="s">
        <v>777</v>
      </c>
      <c r="J65" s="51" t="s">
        <v>259</v>
      </c>
      <c r="K65" s="51" t="s">
        <v>778</v>
      </c>
      <c r="L65" s="51" t="s">
        <v>261</v>
      </c>
      <c r="M65" s="51" t="s">
        <v>779</v>
      </c>
      <c r="N65" s="51" t="s">
        <v>259</v>
      </c>
      <c r="O65" s="51" t="s">
        <v>778</v>
      </c>
      <c r="P65" s="51" t="s">
        <v>261</v>
      </c>
      <c r="Q65" s="51" t="s">
        <v>780</v>
      </c>
      <c r="R65" s="51" t="s">
        <v>779</v>
      </c>
      <c r="S65" s="334"/>
      <c r="T65" s="334"/>
      <c r="U65" s="336"/>
      <c r="V65" s="266"/>
    </row>
    <row r="66" spans="2:22" ht="139.5" customHeight="1" thickBot="1">
      <c r="B66" s="58">
        <v>2</v>
      </c>
      <c r="C66" s="57" t="s">
        <v>990</v>
      </c>
      <c r="D66" s="57" t="s">
        <v>991</v>
      </c>
      <c r="E66" s="57" t="s">
        <v>992</v>
      </c>
      <c r="F66" s="94" t="s">
        <v>869</v>
      </c>
      <c r="G66" s="5"/>
      <c r="H66" s="5"/>
      <c r="I66" s="5"/>
      <c r="J66" s="5"/>
      <c r="K66" s="5"/>
      <c r="L66" s="5"/>
      <c r="M66" s="5"/>
      <c r="N66" s="5"/>
      <c r="O66" s="5"/>
      <c r="P66" s="5"/>
      <c r="Q66" s="5"/>
      <c r="R66" s="5"/>
      <c r="S66" s="5"/>
      <c r="T66" s="84" t="s">
        <v>993</v>
      </c>
      <c r="U66" s="5"/>
      <c r="V66" s="205" t="s">
        <v>994</v>
      </c>
    </row>
    <row r="67" spans="2:22" ht="19.5" thickBot="1">
      <c r="C67" s="64"/>
      <c r="M67" s="69" t="s">
        <v>810</v>
      </c>
      <c r="N67" s="82">
        <f>SUM(N66:N66)</f>
        <v>0</v>
      </c>
      <c r="O67" s="82">
        <f>SUM(O66:O66)</f>
        <v>0</v>
      </c>
      <c r="P67" s="82">
        <f>SUM(P66:P66)</f>
        <v>0</v>
      </c>
      <c r="Q67" s="95">
        <f>SUM(Q66:Q66)</f>
        <v>0</v>
      </c>
      <c r="R67" s="82"/>
    </row>
    <row r="68" spans="2:22">
      <c r="B68" s="60" t="s">
        <v>811</v>
      </c>
    </row>
    <row r="69" spans="2:22" ht="16.5" thickBot="1"/>
    <row r="70" spans="2:22" ht="16.5" thickBot="1">
      <c r="B70" s="337" t="s">
        <v>764</v>
      </c>
      <c r="C70" s="338"/>
      <c r="D70" s="338"/>
      <c r="E70" s="339"/>
      <c r="F70" s="333" t="s">
        <v>765</v>
      </c>
      <c r="G70" s="308" t="s">
        <v>766</v>
      </c>
      <c r="H70" s="310"/>
      <c r="I70" s="308" t="s">
        <v>767</v>
      </c>
      <c r="J70" s="309"/>
      <c r="K70" s="309"/>
      <c r="L70" s="309"/>
      <c r="M70" s="309" t="s">
        <v>768</v>
      </c>
      <c r="N70" s="309"/>
      <c r="O70" s="309"/>
      <c r="P70" s="309"/>
      <c r="Q70" s="309"/>
      <c r="R70" s="310"/>
      <c r="S70" s="333" t="s">
        <v>769</v>
      </c>
      <c r="T70" s="333" t="s">
        <v>770</v>
      </c>
      <c r="U70" s="335" t="s">
        <v>771</v>
      </c>
      <c r="V70" s="266" t="s">
        <v>772</v>
      </c>
    </row>
    <row r="71" spans="2:22" ht="16.5" thickBot="1">
      <c r="B71" s="51" t="s">
        <v>773</v>
      </c>
      <c r="C71" s="51" t="s">
        <v>774</v>
      </c>
      <c r="D71" s="51" t="s">
        <v>775</v>
      </c>
      <c r="E71" s="51" t="s">
        <v>24</v>
      </c>
      <c r="F71" s="334"/>
      <c r="G71" s="51" t="s">
        <v>776</v>
      </c>
      <c r="H71" s="51" t="s">
        <v>256</v>
      </c>
      <c r="I71" s="51" t="s">
        <v>777</v>
      </c>
      <c r="J71" s="51" t="s">
        <v>259</v>
      </c>
      <c r="K71" s="51" t="s">
        <v>778</v>
      </c>
      <c r="L71" s="51" t="s">
        <v>261</v>
      </c>
      <c r="M71" s="51" t="s">
        <v>779</v>
      </c>
      <c r="N71" s="51" t="s">
        <v>259</v>
      </c>
      <c r="O71" s="51" t="s">
        <v>778</v>
      </c>
      <c r="P71" s="51" t="s">
        <v>261</v>
      </c>
      <c r="Q71" s="51" t="s">
        <v>780</v>
      </c>
      <c r="R71" s="51" t="s">
        <v>779</v>
      </c>
      <c r="S71" s="334"/>
      <c r="T71" s="334"/>
      <c r="U71" s="336"/>
      <c r="V71" s="266"/>
    </row>
    <row r="72" spans="2:22" ht="95.25" thickBot="1">
      <c r="B72" s="59">
        <v>3</v>
      </c>
      <c r="C72" s="57" t="s">
        <v>995</v>
      </c>
      <c r="D72" s="57" t="s">
        <v>986</v>
      </c>
      <c r="E72" s="57" t="s">
        <v>996</v>
      </c>
      <c r="F72" s="5"/>
      <c r="G72" s="81">
        <f>'4.2. ANEXOS Transporte'!G205</f>
        <v>1623418.9714285713</v>
      </c>
      <c r="H72" s="5" t="str">
        <f>H59</f>
        <v>Litros</v>
      </c>
      <c r="I72" s="5" t="str">
        <f>I59</f>
        <v>kg de GEI/L de combustible</v>
      </c>
      <c r="J72" s="5">
        <f>J60</f>
        <v>1.4899999999999999E-4</v>
      </c>
      <c r="K72" s="5">
        <f>K60</f>
        <v>2.613</v>
      </c>
      <c r="L72" s="5">
        <f>L60</f>
        <v>1.54E-4</v>
      </c>
      <c r="M72" s="5"/>
      <c r="N72" s="112">
        <f>(G72*J72*'1.3. Factores de emisión'!$E$162)/1000</f>
        <v>5.0796779615999998</v>
      </c>
      <c r="O72" s="112">
        <f t="shared" ref="O72:O73" si="23">(G72*K72*1)/1000</f>
        <v>4241.9937723428566</v>
      </c>
      <c r="P72" s="112">
        <f>(G72*L72*'1.3. Factores de emisión'!$E$163)/1000</f>
        <v>77.502021696</v>
      </c>
      <c r="Q72" s="113">
        <f t="shared" ref="Q72:Q73" si="24">SUM(N72:P72)</f>
        <v>4324.575472000457</v>
      </c>
      <c r="R72" s="5"/>
      <c r="S72" s="94" t="s">
        <v>793</v>
      </c>
      <c r="T72" s="84" t="s">
        <v>988</v>
      </c>
      <c r="U72" s="94" t="s">
        <v>232</v>
      </c>
      <c r="V72" s="84" t="s">
        <v>975</v>
      </c>
    </row>
    <row r="73" spans="2:22" ht="95.25" thickBot="1">
      <c r="B73" s="59">
        <v>3</v>
      </c>
      <c r="C73" s="57" t="s">
        <v>995</v>
      </c>
      <c r="D73" s="57" t="s">
        <v>986</v>
      </c>
      <c r="E73" s="57" t="s">
        <v>997</v>
      </c>
      <c r="F73" s="5"/>
      <c r="G73" s="81">
        <f>'4.2. ANEXOS Transporte'!G206</f>
        <v>64468.800000000003</v>
      </c>
      <c r="H73" s="5" t="str">
        <f>H72</f>
        <v>Litros</v>
      </c>
      <c r="I73" s="5" t="str">
        <f>I72</f>
        <v>kg de GEI/L de combustible</v>
      </c>
      <c r="J73" s="5">
        <f>J72</f>
        <v>1.4899999999999999E-4</v>
      </c>
      <c r="K73" s="5">
        <f>K72</f>
        <v>2.613</v>
      </c>
      <c r="L73" s="5">
        <f>L72</f>
        <v>1.54E-4</v>
      </c>
      <c r="M73" s="5"/>
      <c r="N73" s="112">
        <f>(G73*J73*'1.3. Factores de emisión'!$E$162)/1000</f>
        <v>0.20172287520000001</v>
      </c>
      <c r="O73" s="112">
        <f t="shared" si="23"/>
        <v>168.45697440000001</v>
      </c>
      <c r="P73" s="112">
        <f>(G73*L73*'1.3. Factores de emisión'!$E$163)/1000</f>
        <v>3.0777405120000001</v>
      </c>
      <c r="Q73" s="113">
        <f t="shared" si="24"/>
        <v>171.7364377872</v>
      </c>
      <c r="R73" s="5"/>
      <c r="S73" s="94" t="s">
        <v>793</v>
      </c>
      <c r="T73" s="84" t="s">
        <v>988</v>
      </c>
      <c r="U73" s="94" t="s">
        <v>232</v>
      </c>
      <c r="V73" s="84" t="s">
        <v>975</v>
      </c>
    </row>
    <row r="74" spans="2:22" ht="19.5" thickBot="1">
      <c r="C74" s="64"/>
      <c r="M74" s="69" t="s">
        <v>810</v>
      </c>
      <c r="N74" s="82">
        <f>SUM(N72:N73)</f>
        <v>5.2814008367999996</v>
      </c>
      <c r="O74" s="82">
        <f>SUM(O72:O73)</f>
        <v>4410.4507467428566</v>
      </c>
      <c r="P74" s="82">
        <f>SUM(P72:P73)</f>
        <v>80.579762208000005</v>
      </c>
      <c r="Q74" s="95">
        <f>SUM(Q72:Q73)</f>
        <v>4496.311909787657</v>
      </c>
      <c r="R74" s="82"/>
    </row>
    <row r="75" spans="2:22">
      <c r="B75" s="60" t="s">
        <v>811</v>
      </c>
    </row>
    <row r="78" spans="2:22">
      <c r="B78" s="341" t="s">
        <v>998</v>
      </c>
      <c r="C78" s="341"/>
    </row>
    <row r="79" spans="2:22" ht="16.5" thickBot="1"/>
    <row r="80" spans="2:22" ht="16.5" thickBot="1">
      <c r="B80" s="266" t="s">
        <v>764</v>
      </c>
      <c r="C80" s="266"/>
      <c r="D80" s="266"/>
      <c r="E80" s="266"/>
      <c r="F80" s="340" t="s">
        <v>765</v>
      </c>
      <c r="G80" s="266" t="s">
        <v>766</v>
      </c>
      <c r="H80" s="266"/>
      <c r="I80" s="308" t="s">
        <v>767</v>
      </c>
      <c r="J80" s="309"/>
      <c r="K80" s="309"/>
      <c r="L80" s="309"/>
      <c r="M80" s="310"/>
      <c r="N80" s="308" t="s">
        <v>768</v>
      </c>
      <c r="O80" s="309"/>
      <c r="P80" s="309"/>
      <c r="Q80" s="309"/>
      <c r="R80" s="310"/>
      <c r="S80" s="340" t="s">
        <v>769</v>
      </c>
      <c r="T80" s="340" t="s">
        <v>770</v>
      </c>
      <c r="U80" s="266" t="s">
        <v>771</v>
      </c>
      <c r="V80" s="266" t="s">
        <v>772</v>
      </c>
    </row>
    <row r="81" spans="2:22" ht="16.5" thickBot="1">
      <c r="B81" s="51" t="s">
        <v>773</v>
      </c>
      <c r="C81" s="51" t="s">
        <v>774</v>
      </c>
      <c r="D81" s="51" t="s">
        <v>775</v>
      </c>
      <c r="E81" s="51" t="s">
        <v>24</v>
      </c>
      <c r="F81" s="340"/>
      <c r="G81" s="51" t="s">
        <v>776</v>
      </c>
      <c r="H81" s="51" t="s">
        <v>256</v>
      </c>
      <c r="I81" s="51" t="s">
        <v>777</v>
      </c>
      <c r="J81" s="51" t="s">
        <v>259</v>
      </c>
      <c r="K81" s="51" t="s">
        <v>778</v>
      </c>
      <c r="L81" s="51" t="s">
        <v>261</v>
      </c>
      <c r="M81" s="51" t="s">
        <v>779</v>
      </c>
      <c r="N81" s="51" t="s">
        <v>259</v>
      </c>
      <c r="O81" s="51" t="s">
        <v>778</v>
      </c>
      <c r="P81" s="51" t="s">
        <v>261</v>
      </c>
      <c r="Q81" s="51" t="s">
        <v>780</v>
      </c>
      <c r="R81" s="51" t="s">
        <v>779</v>
      </c>
      <c r="S81" s="340"/>
      <c r="T81" s="340"/>
      <c r="U81" s="266"/>
      <c r="V81" s="266"/>
    </row>
    <row r="82" spans="2:22" ht="118.5" customHeight="1" thickBot="1">
      <c r="B82" s="58">
        <v>1</v>
      </c>
      <c r="C82" s="57" t="s">
        <v>999</v>
      </c>
      <c r="D82" s="5" t="s">
        <v>1000</v>
      </c>
      <c r="E82" s="57" t="s">
        <v>1001</v>
      </c>
      <c r="F82" s="94" t="s">
        <v>869</v>
      </c>
      <c r="G82" s="5"/>
      <c r="H82" s="5"/>
      <c r="I82" s="5"/>
      <c r="J82" s="5"/>
      <c r="K82" s="5"/>
      <c r="L82" s="5"/>
      <c r="M82" s="5"/>
      <c r="N82" s="5"/>
      <c r="O82" s="5"/>
      <c r="P82" s="5"/>
      <c r="Q82" s="5"/>
      <c r="R82" s="5"/>
      <c r="S82" s="5"/>
      <c r="T82" s="84" t="s">
        <v>1002</v>
      </c>
      <c r="U82" s="5"/>
      <c r="V82" s="205" t="s">
        <v>994</v>
      </c>
    </row>
    <row r="83" spans="2:22" ht="19.5" thickBot="1">
      <c r="C83" s="64"/>
      <c r="M83" s="69" t="s">
        <v>810</v>
      </c>
      <c r="N83" s="82">
        <f>SUM(N82:N82)</f>
        <v>0</v>
      </c>
      <c r="O83" s="82">
        <f>SUM(O82:O82)</f>
        <v>0</v>
      </c>
      <c r="P83" s="82">
        <f>SUM(P82:P82)</f>
        <v>0</v>
      </c>
      <c r="Q83" s="95">
        <f>SUM(Q82:Q82)</f>
        <v>0</v>
      </c>
      <c r="R83" s="82"/>
    </row>
    <row r="84" spans="2:22">
      <c r="B84" s="60" t="s">
        <v>811</v>
      </c>
    </row>
    <row r="85" spans="2:22" ht="16.5" thickBot="1"/>
    <row r="86" spans="2:22" ht="16.5" thickBot="1">
      <c r="B86" s="337" t="s">
        <v>764</v>
      </c>
      <c r="C86" s="338"/>
      <c r="D86" s="338"/>
      <c r="E86" s="339"/>
      <c r="F86" s="333" t="s">
        <v>765</v>
      </c>
      <c r="G86" s="308" t="s">
        <v>766</v>
      </c>
      <c r="H86" s="310"/>
      <c r="I86" s="308" t="s">
        <v>767</v>
      </c>
      <c r="J86" s="309"/>
      <c r="K86" s="309"/>
      <c r="L86" s="309"/>
      <c r="M86" s="309" t="s">
        <v>768</v>
      </c>
      <c r="N86" s="309"/>
      <c r="O86" s="309"/>
      <c r="P86" s="309"/>
      <c r="Q86" s="309"/>
      <c r="R86" s="310"/>
      <c r="S86" s="333" t="s">
        <v>769</v>
      </c>
      <c r="T86" s="333" t="s">
        <v>770</v>
      </c>
      <c r="U86" s="335" t="s">
        <v>771</v>
      </c>
      <c r="V86" s="266" t="s">
        <v>772</v>
      </c>
    </row>
    <row r="87" spans="2:22" ht="16.5" thickBot="1">
      <c r="B87" s="51" t="s">
        <v>773</v>
      </c>
      <c r="C87" s="51" t="s">
        <v>774</v>
      </c>
      <c r="D87" s="51" t="s">
        <v>775</v>
      </c>
      <c r="E87" s="51" t="s">
        <v>24</v>
      </c>
      <c r="F87" s="334"/>
      <c r="G87" s="51" t="s">
        <v>776</v>
      </c>
      <c r="H87" s="51" t="s">
        <v>256</v>
      </c>
      <c r="I87" s="51" t="s">
        <v>777</v>
      </c>
      <c r="J87" s="51" t="s">
        <v>259</v>
      </c>
      <c r="K87" s="51" t="s">
        <v>778</v>
      </c>
      <c r="L87" s="51" t="s">
        <v>261</v>
      </c>
      <c r="M87" s="51" t="s">
        <v>779</v>
      </c>
      <c r="N87" s="51" t="s">
        <v>259</v>
      </c>
      <c r="O87" s="51" t="s">
        <v>778</v>
      </c>
      <c r="P87" s="51" t="s">
        <v>261</v>
      </c>
      <c r="Q87" s="51" t="s">
        <v>780</v>
      </c>
      <c r="R87" s="51" t="s">
        <v>779</v>
      </c>
      <c r="S87" s="334"/>
      <c r="T87" s="334"/>
      <c r="U87" s="336"/>
      <c r="V87" s="266"/>
    </row>
    <row r="88" spans="2:22" ht="108" customHeight="1" thickBot="1">
      <c r="B88" s="58">
        <v>2</v>
      </c>
      <c r="C88" s="57" t="s">
        <v>1003</v>
      </c>
      <c r="D88" s="5" t="s">
        <v>1004</v>
      </c>
      <c r="E88" s="57" t="s">
        <v>1005</v>
      </c>
      <c r="F88" s="94" t="s">
        <v>869</v>
      </c>
      <c r="G88" s="5"/>
      <c r="H88" s="5"/>
      <c r="I88" s="5"/>
      <c r="J88" s="5"/>
      <c r="K88" s="5"/>
      <c r="L88" s="5"/>
      <c r="M88" s="5"/>
      <c r="N88" s="5"/>
      <c r="O88" s="5"/>
      <c r="P88" s="5"/>
      <c r="Q88" s="5"/>
      <c r="R88" s="5"/>
      <c r="S88" s="5"/>
      <c r="T88" s="84" t="s">
        <v>1002</v>
      </c>
      <c r="U88" s="5"/>
      <c r="V88" s="205" t="s">
        <v>994</v>
      </c>
    </row>
    <row r="89" spans="2:22" ht="19.5" thickBot="1">
      <c r="C89" s="64"/>
      <c r="M89" s="69" t="s">
        <v>810</v>
      </c>
      <c r="N89" s="82">
        <f>SUM(N88:N88)</f>
        <v>0</v>
      </c>
      <c r="O89" s="82">
        <f>SUM(O88:O88)</f>
        <v>0</v>
      </c>
      <c r="P89" s="82">
        <f>SUM(P88:P88)</f>
        <v>0</v>
      </c>
      <c r="Q89" s="95">
        <f>SUM(Q88:Q88)</f>
        <v>0</v>
      </c>
      <c r="R89" s="82"/>
    </row>
    <row r="90" spans="2:22">
      <c r="B90" s="60" t="s">
        <v>811</v>
      </c>
    </row>
    <row r="91" spans="2:22" ht="16.5" thickBot="1"/>
    <row r="92" spans="2:22" ht="16.5" thickBot="1">
      <c r="B92" s="337" t="s">
        <v>764</v>
      </c>
      <c r="C92" s="338"/>
      <c r="D92" s="338"/>
      <c r="E92" s="339"/>
      <c r="F92" s="333" t="s">
        <v>765</v>
      </c>
      <c r="G92" s="308" t="s">
        <v>766</v>
      </c>
      <c r="H92" s="310"/>
      <c r="I92" s="308" t="s">
        <v>767</v>
      </c>
      <c r="J92" s="309"/>
      <c r="K92" s="309"/>
      <c r="L92" s="309"/>
      <c r="M92" s="309" t="s">
        <v>768</v>
      </c>
      <c r="N92" s="309"/>
      <c r="O92" s="309"/>
      <c r="P92" s="309"/>
      <c r="Q92" s="309"/>
      <c r="R92" s="310"/>
      <c r="S92" s="333" t="s">
        <v>769</v>
      </c>
      <c r="T92" s="333" t="s">
        <v>770</v>
      </c>
      <c r="U92" s="335" t="s">
        <v>771</v>
      </c>
      <c r="V92" s="266" t="s">
        <v>772</v>
      </c>
    </row>
    <row r="93" spans="2:22" ht="16.5" thickBot="1">
      <c r="B93" s="51" t="s">
        <v>773</v>
      </c>
      <c r="C93" s="51" t="s">
        <v>774</v>
      </c>
      <c r="D93" s="51" t="s">
        <v>775</v>
      </c>
      <c r="E93" s="51" t="s">
        <v>24</v>
      </c>
      <c r="F93" s="334"/>
      <c r="G93" s="51" t="s">
        <v>776</v>
      </c>
      <c r="H93" s="51" t="s">
        <v>256</v>
      </c>
      <c r="I93" s="51" t="s">
        <v>777</v>
      </c>
      <c r="J93" s="51" t="s">
        <v>259</v>
      </c>
      <c r="K93" s="51" t="s">
        <v>778</v>
      </c>
      <c r="L93" s="51" t="s">
        <v>261</v>
      </c>
      <c r="M93" s="51" t="s">
        <v>779</v>
      </c>
      <c r="N93" s="51" t="s">
        <v>259</v>
      </c>
      <c r="O93" s="51" t="s">
        <v>778</v>
      </c>
      <c r="P93" s="51" t="s">
        <v>261</v>
      </c>
      <c r="Q93" s="51" t="s">
        <v>780</v>
      </c>
      <c r="R93" s="51" t="s">
        <v>779</v>
      </c>
      <c r="S93" s="334"/>
      <c r="T93" s="334"/>
      <c r="U93" s="336"/>
      <c r="V93" s="266"/>
    </row>
    <row r="94" spans="2:22" ht="95.25" thickBot="1">
      <c r="B94" s="59">
        <v>3</v>
      </c>
      <c r="C94" s="57" t="s">
        <v>995</v>
      </c>
      <c r="D94" s="5" t="s">
        <v>1000</v>
      </c>
      <c r="E94" s="57" t="s">
        <v>1006</v>
      </c>
      <c r="F94" s="94" t="s">
        <v>869</v>
      </c>
      <c r="G94" s="5"/>
      <c r="H94" s="5"/>
      <c r="I94" s="5"/>
      <c r="J94" s="5"/>
      <c r="K94" s="5"/>
      <c r="L94" s="5"/>
      <c r="M94" s="5"/>
      <c r="N94" s="5"/>
      <c r="O94" s="5"/>
      <c r="P94" s="5"/>
      <c r="Q94" s="5"/>
      <c r="R94" s="5"/>
      <c r="S94" s="5"/>
      <c r="T94" s="84" t="s">
        <v>1002</v>
      </c>
      <c r="U94" s="5"/>
      <c r="V94" s="205" t="s">
        <v>994</v>
      </c>
    </row>
    <row r="95" spans="2:22" ht="19.5" thickBot="1">
      <c r="C95" s="64"/>
      <c r="M95" s="69" t="s">
        <v>810</v>
      </c>
      <c r="N95" s="82">
        <f>SUM(N94:N94)</f>
        <v>0</v>
      </c>
      <c r="O95" s="82">
        <f>SUM(O94:O94)</f>
        <v>0</v>
      </c>
      <c r="P95" s="82">
        <f>SUM(P94:P94)</f>
        <v>0</v>
      </c>
      <c r="Q95" s="95">
        <f>SUM(Q94:Q94)</f>
        <v>0</v>
      </c>
      <c r="R95" s="82"/>
    </row>
    <row r="96" spans="2:22">
      <c r="B96" s="60" t="s">
        <v>811</v>
      </c>
    </row>
    <row r="99" spans="2:22">
      <c r="B99" s="50" t="s">
        <v>1007</v>
      </c>
      <c r="C99" s="50"/>
    </row>
    <row r="100" spans="2:22" ht="16.5" thickBot="1"/>
    <row r="101" spans="2:22" ht="16.5" thickBot="1">
      <c r="B101" s="266" t="s">
        <v>764</v>
      </c>
      <c r="C101" s="266"/>
      <c r="D101" s="266"/>
      <c r="E101" s="266"/>
      <c r="F101" s="340" t="s">
        <v>765</v>
      </c>
      <c r="G101" s="266" t="s">
        <v>766</v>
      </c>
      <c r="H101" s="266"/>
      <c r="I101" s="308" t="s">
        <v>767</v>
      </c>
      <c r="J101" s="309"/>
      <c r="K101" s="309"/>
      <c r="L101" s="309"/>
      <c r="M101" s="310"/>
      <c r="N101" s="308" t="s">
        <v>768</v>
      </c>
      <c r="O101" s="309"/>
      <c r="P101" s="309"/>
      <c r="Q101" s="309"/>
      <c r="R101" s="310"/>
      <c r="S101" s="340" t="s">
        <v>769</v>
      </c>
      <c r="T101" s="340" t="s">
        <v>770</v>
      </c>
      <c r="U101" s="266" t="s">
        <v>771</v>
      </c>
      <c r="V101" s="266" t="s">
        <v>772</v>
      </c>
    </row>
    <row r="102" spans="2:22" ht="16.5" thickBot="1">
      <c r="B102" s="51" t="s">
        <v>773</v>
      </c>
      <c r="C102" s="51" t="s">
        <v>774</v>
      </c>
      <c r="D102" s="51" t="s">
        <v>775</v>
      </c>
      <c r="E102" s="51" t="s">
        <v>24</v>
      </c>
      <c r="F102" s="340"/>
      <c r="G102" s="51" t="s">
        <v>776</v>
      </c>
      <c r="H102" s="51" t="s">
        <v>256</v>
      </c>
      <c r="I102" s="51" t="s">
        <v>777</v>
      </c>
      <c r="J102" s="51" t="s">
        <v>259</v>
      </c>
      <c r="K102" s="51" t="s">
        <v>778</v>
      </c>
      <c r="L102" s="51" t="s">
        <v>261</v>
      </c>
      <c r="M102" s="51" t="s">
        <v>779</v>
      </c>
      <c r="N102" s="51" t="s">
        <v>259</v>
      </c>
      <c r="O102" s="51" t="s">
        <v>778</v>
      </c>
      <c r="P102" s="51" t="s">
        <v>261</v>
      </c>
      <c r="Q102" s="51" t="s">
        <v>780</v>
      </c>
      <c r="R102" s="51" t="s">
        <v>779</v>
      </c>
      <c r="S102" s="340"/>
      <c r="T102" s="340"/>
      <c r="U102" s="266"/>
      <c r="V102" s="266"/>
    </row>
    <row r="103" spans="2:22" ht="100.5" customHeight="1" thickBot="1">
      <c r="B103" s="58">
        <v>1</v>
      </c>
      <c r="C103" s="57" t="s">
        <v>1008</v>
      </c>
      <c r="D103" s="5" t="s">
        <v>1009</v>
      </c>
      <c r="E103" s="57" t="s">
        <v>1010</v>
      </c>
      <c r="F103" s="94" t="s">
        <v>869</v>
      </c>
      <c r="G103" s="5"/>
      <c r="H103" s="5"/>
      <c r="I103" s="5"/>
      <c r="J103" s="5"/>
      <c r="K103" s="5"/>
      <c r="L103" s="5"/>
      <c r="M103" s="5"/>
      <c r="N103" s="5"/>
      <c r="O103" s="5"/>
      <c r="P103" s="5"/>
      <c r="Q103" s="5"/>
      <c r="R103" s="5"/>
      <c r="S103" s="5"/>
      <c r="T103" s="84" t="s">
        <v>1011</v>
      </c>
      <c r="U103" s="5"/>
      <c r="V103" s="205" t="s">
        <v>994</v>
      </c>
    </row>
    <row r="104" spans="2:22" ht="19.5" thickBot="1">
      <c r="C104" s="64"/>
      <c r="M104" s="69" t="s">
        <v>810</v>
      </c>
      <c r="N104" s="82">
        <f>SUM(N103:N103)</f>
        <v>0</v>
      </c>
      <c r="O104" s="82">
        <f>SUM(O103:O103)</f>
        <v>0</v>
      </c>
      <c r="P104" s="82">
        <f>SUM(P103:P103)</f>
        <v>0</v>
      </c>
      <c r="Q104" s="95">
        <f>SUM(Q103:Q103)</f>
        <v>0</v>
      </c>
      <c r="R104" s="82"/>
    </row>
    <row r="105" spans="2:22">
      <c r="B105" s="60" t="s">
        <v>811</v>
      </c>
    </row>
    <row r="106" spans="2:22" ht="16.5" thickBot="1"/>
    <row r="107" spans="2:22" ht="16.5" thickBot="1">
      <c r="B107" s="337" t="s">
        <v>764</v>
      </c>
      <c r="C107" s="338"/>
      <c r="D107" s="338"/>
      <c r="E107" s="339"/>
      <c r="F107" s="333" t="s">
        <v>765</v>
      </c>
      <c r="G107" s="308" t="s">
        <v>766</v>
      </c>
      <c r="H107" s="310"/>
      <c r="I107" s="308" t="s">
        <v>767</v>
      </c>
      <c r="J107" s="309"/>
      <c r="K107" s="309"/>
      <c r="L107" s="309"/>
      <c r="M107" s="309" t="s">
        <v>768</v>
      </c>
      <c r="N107" s="309"/>
      <c r="O107" s="309"/>
      <c r="P107" s="309"/>
      <c r="Q107" s="309"/>
      <c r="R107" s="310"/>
      <c r="S107" s="333" t="s">
        <v>769</v>
      </c>
      <c r="T107" s="333" t="s">
        <v>770</v>
      </c>
      <c r="U107" s="335" t="s">
        <v>771</v>
      </c>
      <c r="V107" s="266" t="s">
        <v>772</v>
      </c>
    </row>
    <row r="108" spans="2:22" ht="16.5" thickBot="1">
      <c r="B108" s="51" t="s">
        <v>773</v>
      </c>
      <c r="C108" s="51" t="s">
        <v>774</v>
      </c>
      <c r="D108" s="51" t="s">
        <v>775</v>
      </c>
      <c r="E108" s="51" t="s">
        <v>24</v>
      </c>
      <c r="F108" s="334"/>
      <c r="G108" s="51" t="s">
        <v>776</v>
      </c>
      <c r="H108" s="51" t="s">
        <v>256</v>
      </c>
      <c r="I108" s="51" t="s">
        <v>777</v>
      </c>
      <c r="J108" s="51" t="s">
        <v>259</v>
      </c>
      <c r="K108" s="51" t="s">
        <v>778</v>
      </c>
      <c r="L108" s="51" t="s">
        <v>261</v>
      </c>
      <c r="M108" s="51" t="s">
        <v>779</v>
      </c>
      <c r="N108" s="51" t="s">
        <v>259</v>
      </c>
      <c r="O108" s="51" t="s">
        <v>778</v>
      </c>
      <c r="P108" s="51" t="s">
        <v>261</v>
      </c>
      <c r="Q108" s="51" t="s">
        <v>780</v>
      </c>
      <c r="R108" s="51" t="s">
        <v>779</v>
      </c>
      <c r="S108" s="334"/>
      <c r="T108" s="334"/>
      <c r="U108" s="336"/>
      <c r="V108" s="266"/>
    </row>
    <row r="109" spans="2:22" ht="107.25" customHeight="1" thickBot="1">
      <c r="B109" s="58">
        <v>2</v>
      </c>
      <c r="C109" s="57" t="s">
        <v>1012</v>
      </c>
      <c r="D109" s="5" t="s">
        <v>1009</v>
      </c>
      <c r="E109" s="57" t="s">
        <v>1010</v>
      </c>
      <c r="F109" s="94" t="s">
        <v>869</v>
      </c>
      <c r="G109" s="5"/>
      <c r="H109" s="5"/>
      <c r="I109" s="5"/>
      <c r="J109" s="5"/>
      <c r="K109" s="5"/>
      <c r="L109" s="5"/>
      <c r="M109" s="5"/>
      <c r="N109" s="5"/>
      <c r="O109" s="5"/>
      <c r="P109" s="5"/>
      <c r="Q109" s="5"/>
      <c r="R109" s="5"/>
      <c r="S109" s="5"/>
      <c r="T109" s="84" t="s">
        <v>1011</v>
      </c>
      <c r="U109" s="5"/>
      <c r="V109" s="205" t="s">
        <v>994</v>
      </c>
    </row>
    <row r="110" spans="2:22" ht="19.5" thickBot="1">
      <c r="C110" s="64"/>
      <c r="M110" s="69" t="s">
        <v>810</v>
      </c>
      <c r="N110" s="82">
        <f>SUM(N109:N109)</f>
        <v>0</v>
      </c>
      <c r="O110" s="82">
        <f>SUM(O109:O109)</f>
        <v>0</v>
      </c>
      <c r="P110" s="82">
        <f>SUM(P109:P109)</f>
        <v>0</v>
      </c>
      <c r="Q110" s="95">
        <f>SUM(Q109:Q109)</f>
        <v>0</v>
      </c>
      <c r="R110" s="82"/>
    </row>
    <row r="111" spans="2:22">
      <c r="B111" s="60" t="s">
        <v>811</v>
      </c>
    </row>
    <row r="112" spans="2:22" ht="16.5" thickBot="1"/>
    <row r="113" spans="2:22" ht="16.5" thickBot="1">
      <c r="B113" s="337" t="s">
        <v>764</v>
      </c>
      <c r="C113" s="338"/>
      <c r="D113" s="338"/>
      <c r="E113" s="339"/>
      <c r="F113" s="333" t="s">
        <v>765</v>
      </c>
      <c r="G113" s="308" t="s">
        <v>766</v>
      </c>
      <c r="H113" s="310"/>
      <c r="I113" s="308" t="s">
        <v>767</v>
      </c>
      <c r="J113" s="309"/>
      <c r="K113" s="309"/>
      <c r="L113" s="309"/>
      <c r="M113" s="309" t="s">
        <v>768</v>
      </c>
      <c r="N113" s="309"/>
      <c r="O113" s="309"/>
      <c r="P113" s="309"/>
      <c r="Q113" s="309"/>
      <c r="R113" s="310"/>
      <c r="S113" s="333" t="s">
        <v>769</v>
      </c>
      <c r="T113" s="333" t="s">
        <v>770</v>
      </c>
      <c r="U113" s="335" t="s">
        <v>771</v>
      </c>
      <c r="V113" s="266" t="s">
        <v>772</v>
      </c>
    </row>
    <row r="114" spans="2:22" ht="16.5" thickBot="1">
      <c r="B114" s="51" t="s">
        <v>773</v>
      </c>
      <c r="C114" s="51" t="s">
        <v>774</v>
      </c>
      <c r="D114" s="51" t="s">
        <v>775</v>
      </c>
      <c r="E114" s="51" t="s">
        <v>24</v>
      </c>
      <c r="F114" s="334"/>
      <c r="G114" s="51" t="s">
        <v>776</v>
      </c>
      <c r="H114" s="51" t="s">
        <v>256</v>
      </c>
      <c r="I114" s="51" t="s">
        <v>777</v>
      </c>
      <c r="J114" s="51" t="s">
        <v>259</v>
      </c>
      <c r="K114" s="51" t="s">
        <v>778</v>
      </c>
      <c r="L114" s="51" t="s">
        <v>261</v>
      </c>
      <c r="M114" s="51" t="s">
        <v>779</v>
      </c>
      <c r="N114" s="51" t="s">
        <v>259</v>
      </c>
      <c r="O114" s="51" t="s">
        <v>778</v>
      </c>
      <c r="P114" s="51" t="s">
        <v>261</v>
      </c>
      <c r="Q114" s="51" t="s">
        <v>780</v>
      </c>
      <c r="R114" s="51" t="s">
        <v>779</v>
      </c>
      <c r="S114" s="334"/>
      <c r="T114" s="334"/>
      <c r="U114" s="336"/>
      <c r="V114" s="266"/>
    </row>
    <row r="115" spans="2:22" ht="129" customHeight="1" thickBot="1">
      <c r="B115" s="59">
        <v>3</v>
      </c>
      <c r="C115" s="57" t="s">
        <v>995</v>
      </c>
      <c r="D115" s="5" t="s">
        <v>1009</v>
      </c>
      <c r="E115" s="57" t="s">
        <v>1010</v>
      </c>
      <c r="F115" s="94" t="s">
        <v>869</v>
      </c>
      <c r="G115" s="5"/>
      <c r="H115" s="5"/>
      <c r="I115" s="5"/>
      <c r="J115" s="5"/>
      <c r="K115" s="5"/>
      <c r="L115" s="5"/>
      <c r="M115" s="5"/>
      <c r="N115" s="5"/>
      <c r="O115" s="5"/>
      <c r="P115" s="5"/>
      <c r="Q115" s="5"/>
      <c r="R115" s="5"/>
      <c r="S115" s="5"/>
      <c r="T115" s="84" t="s">
        <v>1011</v>
      </c>
      <c r="U115" s="5"/>
      <c r="V115" s="205" t="s">
        <v>994</v>
      </c>
    </row>
    <row r="116" spans="2:22" ht="19.5" thickBot="1">
      <c r="C116" s="64"/>
      <c r="M116" s="69" t="s">
        <v>810</v>
      </c>
      <c r="N116" s="82">
        <f>SUM(N115:N115)</f>
        <v>0</v>
      </c>
      <c r="O116" s="82">
        <f>SUM(O115:O115)</f>
        <v>0</v>
      </c>
      <c r="P116" s="82">
        <f>SUM(P115:P115)</f>
        <v>0</v>
      </c>
      <c r="Q116" s="95">
        <f>SUM(Q115:Q115)</f>
        <v>0</v>
      </c>
      <c r="R116" s="82"/>
    </row>
    <row r="117" spans="2:22">
      <c r="B117" s="60" t="s">
        <v>811</v>
      </c>
    </row>
    <row r="120" spans="2:22">
      <c r="B120" s="50" t="s">
        <v>1013</v>
      </c>
      <c r="C120" s="50"/>
    </row>
    <row r="121" spans="2:22" ht="16.5" thickBot="1"/>
    <row r="122" spans="2:22" ht="16.5" thickBot="1">
      <c r="B122" s="266" t="s">
        <v>764</v>
      </c>
      <c r="C122" s="266"/>
      <c r="D122" s="266"/>
      <c r="E122" s="266"/>
      <c r="F122" s="340" t="s">
        <v>765</v>
      </c>
      <c r="G122" s="266" t="s">
        <v>766</v>
      </c>
      <c r="H122" s="266"/>
      <c r="I122" s="308" t="s">
        <v>767</v>
      </c>
      <c r="J122" s="309"/>
      <c r="K122" s="309"/>
      <c r="L122" s="309"/>
      <c r="M122" s="310"/>
      <c r="N122" s="308" t="s">
        <v>768</v>
      </c>
      <c r="O122" s="309"/>
      <c r="P122" s="309"/>
      <c r="Q122" s="309"/>
      <c r="R122" s="310"/>
      <c r="S122" s="340" t="s">
        <v>769</v>
      </c>
      <c r="T122" s="340" t="s">
        <v>770</v>
      </c>
      <c r="U122" s="266" t="s">
        <v>771</v>
      </c>
      <c r="V122" s="266" t="s">
        <v>772</v>
      </c>
    </row>
    <row r="123" spans="2:22" ht="16.5" thickBot="1">
      <c r="B123" s="51" t="s">
        <v>773</v>
      </c>
      <c r="C123" s="51" t="s">
        <v>774</v>
      </c>
      <c r="D123" s="51" t="s">
        <v>775</v>
      </c>
      <c r="E123" s="51" t="s">
        <v>24</v>
      </c>
      <c r="F123" s="340"/>
      <c r="G123" s="51" t="s">
        <v>776</v>
      </c>
      <c r="H123" s="51" t="s">
        <v>256</v>
      </c>
      <c r="I123" s="51" t="s">
        <v>777</v>
      </c>
      <c r="J123" s="51" t="s">
        <v>259</v>
      </c>
      <c r="K123" s="51" t="s">
        <v>778</v>
      </c>
      <c r="L123" s="51" t="s">
        <v>261</v>
      </c>
      <c r="M123" s="51" t="s">
        <v>779</v>
      </c>
      <c r="N123" s="51" t="s">
        <v>259</v>
      </c>
      <c r="O123" s="51" t="s">
        <v>778</v>
      </c>
      <c r="P123" s="51" t="s">
        <v>261</v>
      </c>
      <c r="Q123" s="51" t="s">
        <v>780</v>
      </c>
      <c r="R123" s="51" t="s">
        <v>779</v>
      </c>
      <c r="S123" s="340"/>
      <c r="T123" s="340"/>
      <c r="U123" s="266"/>
      <c r="V123" s="266"/>
    </row>
    <row r="124" spans="2:22" ht="119.25" customHeight="1" thickBot="1">
      <c r="B124" s="58">
        <v>1</v>
      </c>
      <c r="C124" s="57" t="s">
        <v>1014</v>
      </c>
      <c r="D124" s="111" t="s">
        <v>1015</v>
      </c>
      <c r="E124" s="80" t="s">
        <v>1016</v>
      </c>
      <c r="F124" s="5"/>
      <c r="G124" s="81">
        <f>'4.2. ANEXOS Transporte'!D32</f>
        <v>3046.7137458157872</v>
      </c>
      <c r="H124" s="5" t="s">
        <v>784</v>
      </c>
      <c r="I124" s="57" t="s">
        <v>785</v>
      </c>
      <c r="J124" s="5">
        <f>'1.3. Factores de emisión'!E56</f>
        <v>9.0700000000000004E-4</v>
      </c>
      <c r="K124" s="5">
        <f>'1.3. Factores de emisión'!F30</f>
        <v>2.2309999999999999</v>
      </c>
      <c r="L124" s="5">
        <f>'1.3. Factores de emisión'!G56</f>
        <v>2.8299999999999999E-4</v>
      </c>
      <c r="M124" s="5"/>
      <c r="N124" s="82">
        <f>(G124*J124*'1.3. Factores de emisión'!$E$162)/1000</f>
        <v>5.8030756716553299E-2</v>
      </c>
      <c r="O124" s="82">
        <f t="shared" ref="O124:O125" si="25">(G124*K124*1)/1000</f>
        <v>6.797218366915021</v>
      </c>
      <c r="P124" s="82">
        <f>(G124*L124*'1.3. Factores de emisión'!$E$163)/1000</f>
        <v>0.267288196920419</v>
      </c>
      <c r="Q124" s="82">
        <f t="shared" ref="Q124:Q125" si="26">SUM(N124:P124)</f>
        <v>7.1225373205519933</v>
      </c>
      <c r="R124" s="5"/>
      <c r="S124" s="84" t="s">
        <v>793</v>
      </c>
      <c r="T124" s="84" t="s">
        <v>1017</v>
      </c>
      <c r="U124" s="84" t="s">
        <v>826</v>
      </c>
      <c r="V124" s="84" t="s">
        <v>796</v>
      </c>
    </row>
    <row r="125" spans="2:22" ht="124.5" customHeight="1" thickBot="1">
      <c r="B125" s="58">
        <v>1</v>
      </c>
      <c r="C125" s="57" t="s">
        <v>1014</v>
      </c>
      <c r="D125" s="111" t="s">
        <v>1018</v>
      </c>
      <c r="E125" s="80" t="s">
        <v>1019</v>
      </c>
      <c r="F125" s="5"/>
      <c r="G125" s="81">
        <f>'4.2. ANEXOS Transporte'!C32</f>
        <v>41894.869062570047</v>
      </c>
      <c r="H125" s="5" t="s">
        <v>784</v>
      </c>
      <c r="I125" s="57" t="s">
        <v>785</v>
      </c>
      <c r="J125" s="5">
        <f>'1.3. Factores de emisión'!E57</f>
        <v>1.4899999999999999E-4</v>
      </c>
      <c r="K125" s="5">
        <f>'1.3. Factores de emisión'!F31</f>
        <v>2.613</v>
      </c>
      <c r="L125" s="5">
        <f>'1.3. Factores de emisión'!G57</f>
        <v>1.54E-4</v>
      </c>
      <c r="M125" s="5"/>
      <c r="N125" s="82">
        <f>(G125*J125*'1.3. Factores de emisión'!$E$162)/1000</f>
        <v>0.13108904529678167</v>
      </c>
      <c r="O125" s="82">
        <f t="shared" si="25"/>
        <v>109.47129286049554</v>
      </c>
      <c r="P125" s="82">
        <f>(G125*L125*'1.3. Factores de emisión'!$E$163)/1000</f>
        <v>2.000061049047094</v>
      </c>
      <c r="Q125" s="82">
        <f t="shared" si="26"/>
        <v>111.6024429548394</v>
      </c>
      <c r="R125" s="5"/>
      <c r="S125" s="84" t="s">
        <v>793</v>
      </c>
      <c r="T125" s="84" t="s">
        <v>1020</v>
      </c>
      <c r="U125" s="84" t="s">
        <v>826</v>
      </c>
      <c r="V125" s="84" t="s">
        <v>796</v>
      </c>
    </row>
    <row r="126" spans="2:22" ht="124.5" customHeight="1" thickBot="1">
      <c r="B126" s="58">
        <v>1</v>
      </c>
      <c r="C126" s="57" t="s">
        <v>1014</v>
      </c>
      <c r="D126" s="111" t="s">
        <v>1015</v>
      </c>
      <c r="E126" s="80" t="s">
        <v>1021</v>
      </c>
      <c r="F126" s="5"/>
      <c r="G126" s="81">
        <f>'4.2. ANEXOS Transporte'!D47</f>
        <v>26835.867722222225</v>
      </c>
      <c r="H126" s="5" t="s">
        <v>784</v>
      </c>
      <c r="I126" s="57" t="s">
        <v>785</v>
      </c>
      <c r="J126" s="5">
        <f>'1.3. Factores de emisión'!E56</f>
        <v>9.0700000000000004E-4</v>
      </c>
      <c r="K126" s="5">
        <f>'1.3. Factores de emisión'!F30</f>
        <v>2.2309999999999999</v>
      </c>
      <c r="L126" s="5">
        <f>'1.3. Factores de emisión'!G56</f>
        <v>2.8299999999999999E-4</v>
      </c>
      <c r="M126" s="5"/>
      <c r="N126" s="82">
        <f>(G126*J126*'1.3. Factores de emisión'!$E$162)/1000</f>
        <v>0.51114277250516671</v>
      </c>
      <c r="O126" s="82">
        <f t="shared" ref="O126:O127" si="27">(G126*K126*1)/1000</f>
        <v>59.870820888277784</v>
      </c>
      <c r="P126" s="82">
        <f>(G126*L126*'1.3. Factores de emisión'!$E$163)/1000</f>
        <v>2.3543106752705558</v>
      </c>
      <c r="Q126" s="82">
        <f t="shared" ref="Q126:Q127" si="28">SUM(N126:P126)</f>
        <v>62.736274336053505</v>
      </c>
      <c r="R126" s="5"/>
      <c r="S126" s="84" t="s">
        <v>793</v>
      </c>
      <c r="T126" s="84" t="s">
        <v>1022</v>
      </c>
      <c r="U126" s="84" t="s">
        <v>946</v>
      </c>
      <c r="V126" s="84" t="s">
        <v>796</v>
      </c>
    </row>
    <row r="127" spans="2:22" ht="124.5" customHeight="1" thickBot="1">
      <c r="B127" s="58">
        <v>1</v>
      </c>
      <c r="C127" s="57" t="s">
        <v>1014</v>
      </c>
      <c r="D127" s="111" t="s">
        <v>1018</v>
      </c>
      <c r="E127" s="80" t="s">
        <v>1023</v>
      </c>
      <c r="F127" s="5"/>
      <c r="G127" s="81">
        <f>'4.2. ANEXOS Transporte'!C47</f>
        <v>1083065.3872521417</v>
      </c>
      <c r="H127" s="5" t="s">
        <v>784</v>
      </c>
      <c r="I127" s="57" t="s">
        <v>785</v>
      </c>
      <c r="J127" s="5">
        <f>'1.3. Factores de emisión'!E57</f>
        <v>1.4899999999999999E-4</v>
      </c>
      <c r="K127" s="5">
        <f>'1.3. Factores de emisión'!F31</f>
        <v>2.613</v>
      </c>
      <c r="L127" s="5">
        <f>'1.3. Factores de emisión'!G57</f>
        <v>1.54E-4</v>
      </c>
      <c r="M127" s="5"/>
      <c r="N127" s="82">
        <f>(G127*J127*'1.3. Factores de emisión'!$E$162)/1000</f>
        <v>3.3889115967119516</v>
      </c>
      <c r="O127" s="82">
        <f t="shared" si="27"/>
        <v>2830.0498568898461</v>
      </c>
      <c r="P127" s="82">
        <f>(G127*L127*'1.3. Factores de emisión'!$E$163)/1000</f>
        <v>51.705541587417244</v>
      </c>
      <c r="Q127" s="82">
        <f t="shared" si="28"/>
        <v>2885.1443100739752</v>
      </c>
      <c r="R127" s="5"/>
      <c r="S127" s="84" t="s">
        <v>793</v>
      </c>
      <c r="T127" s="84" t="s">
        <v>1022</v>
      </c>
      <c r="U127" s="84" t="s">
        <v>946</v>
      </c>
      <c r="V127" s="84" t="s">
        <v>796</v>
      </c>
    </row>
    <row r="128" spans="2:22" ht="124.5" customHeight="1" thickBot="1">
      <c r="B128" s="58"/>
      <c r="C128" s="57" t="s">
        <v>1014</v>
      </c>
      <c r="D128" s="111" t="s">
        <v>1024</v>
      </c>
      <c r="E128" s="80" t="s">
        <v>1025</v>
      </c>
      <c r="F128" s="5"/>
      <c r="G128" s="81">
        <f>'4.2. ANEXOS Transporte'!E47</f>
        <v>218518.24619965872</v>
      </c>
      <c r="H128" s="5" t="s">
        <v>784</v>
      </c>
      <c r="I128" s="57" t="s">
        <v>785</v>
      </c>
      <c r="J128" s="5">
        <f>'1.3. Factores de emisión'!E58</f>
        <v>1.5834999999999998E-3</v>
      </c>
      <c r="K128" s="5">
        <f>'1.3. Factores de emisión'!F34</f>
        <v>1.611</v>
      </c>
      <c r="L128" s="5">
        <f>'1.3. Factores de emisión'!G58</f>
        <v>5.1000000000000003E-6</v>
      </c>
      <c r="M128" s="5"/>
      <c r="N128" s="82">
        <f>(G128*J128*'1.3. Factores de emisión'!$E$162)/1000</f>
        <v>7.2664965000003505</v>
      </c>
      <c r="O128" s="82">
        <f t="shared" ref="O128" si="29">(G128*K128*1)/1000</f>
        <v>352.03289462765019</v>
      </c>
      <c r="P128" s="82">
        <f>(G128*L128*'1.3. Factores de emisión'!$E$163)/1000</f>
        <v>0.34547734724166046</v>
      </c>
      <c r="Q128" s="82">
        <f t="shared" ref="Q128" si="30">SUM(N128:P128)</f>
        <v>359.64486847489223</v>
      </c>
      <c r="R128" s="5"/>
      <c r="S128" s="84" t="s">
        <v>793</v>
      </c>
      <c r="T128" s="84" t="s">
        <v>1022</v>
      </c>
      <c r="U128" s="84" t="s">
        <v>946</v>
      </c>
      <c r="V128" s="84" t="s">
        <v>796</v>
      </c>
    </row>
    <row r="129" spans="2:22" ht="19.5" thickBot="1">
      <c r="C129" s="64"/>
      <c r="M129" s="69" t="s">
        <v>810</v>
      </c>
      <c r="N129" s="82">
        <f>SUM(N124:N128)</f>
        <v>11.355670671230804</v>
      </c>
      <c r="O129" s="82">
        <f>SUM(O124:O128)</f>
        <v>3358.2220836331844</v>
      </c>
      <c r="P129" s="82">
        <f>SUM(P124:P128)</f>
        <v>56.672678855896976</v>
      </c>
      <c r="Q129" s="95">
        <f>SUM(Q124:Q128)</f>
        <v>3426.2504331603122</v>
      </c>
      <c r="R129" s="82"/>
    </row>
    <row r="130" spans="2:22">
      <c r="B130" s="60" t="s">
        <v>811</v>
      </c>
    </row>
    <row r="131" spans="2:22" ht="16.5" thickBot="1"/>
    <row r="132" spans="2:22" ht="16.5" thickBot="1">
      <c r="B132" s="337" t="s">
        <v>764</v>
      </c>
      <c r="C132" s="338"/>
      <c r="D132" s="338"/>
      <c r="E132" s="339"/>
      <c r="F132" s="333" t="s">
        <v>765</v>
      </c>
      <c r="G132" s="308" t="s">
        <v>766</v>
      </c>
      <c r="H132" s="310"/>
      <c r="I132" s="308" t="s">
        <v>767</v>
      </c>
      <c r="J132" s="309"/>
      <c r="K132" s="309"/>
      <c r="L132" s="309"/>
      <c r="M132" s="309" t="s">
        <v>768</v>
      </c>
      <c r="N132" s="309"/>
      <c r="O132" s="309"/>
      <c r="P132" s="309"/>
      <c r="Q132" s="309"/>
      <c r="R132" s="310"/>
      <c r="S132" s="333" t="s">
        <v>769</v>
      </c>
      <c r="T132" s="333" t="s">
        <v>770</v>
      </c>
      <c r="U132" s="335" t="s">
        <v>771</v>
      </c>
      <c r="V132" s="266" t="s">
        <v>772</v>
      </c>
    </row>
    <row r="133" spans="2:22" ht="16.5" thickBot="1">
      <c r="B133" s="51" t="s">
        <v>773</v>
      </c>
      <c r="C133" s="51" t="s">
        <v>774</v>
      </c>
      <c r="D133" s="51" t="s">
        <v>775</v>
      </c>
      <c r="E133" s="51" t="s">
        <v>24</v>
      </c>
      <c r="F133" s="334"/>
      <c r="G133" s="51" t="s">
        <v>776</v>
      </c>
      <c r="H133" s="51" t="s">
        <v>256</v>
      </c>
      <c r="I133" s="51" t="s">
        <v>777</v>
      </c>
      <c r="J133" s="51" t="s">
        <v>259</v>
      </c>
      <c r="K133" s="51" t="s">
        <v>778</v>
      </c>
      <c r="L133" s="51" t="s">
        <v>261</v>
      </c>
      <c r="M133" s="51" t="s">
        <v>779</v>
      </c>
      <c r="N133" s="51" t="s">
        <v>259</v>
      </c>
      <c r="O133" s="51" t="s">
        <v>778</v>
      </c>
      <c r="P133" s="51" t="s">
        <v>261</v>
      </c>
      <c r="Q133" s="51" t="s">
        <v>780</v>
      </c>
      <c r="R133" s="51" t="s">
        <v>779</v>
      </c>
      <c r="S133" s="334"/>
      <c r="T133" s="334"/>
      <c r="U133" s="336"/>
      <c r="V133" s="266"/>
    </row>
    <row r="134" spans="2:22" ht="195" customHeight="1" thickBot="1">
      <c r="B134" s="58">
        <v>2</v>
      </c>
      <c r="C134" s="57" t="s">
        <v>1026</v>
      </c>
      <c r="D134" s="57" t="s">
        <v>1027</v>
      </c>
      <c r="E134" s="57" t="s">
        <v>1028</v>
      </c>
      <c r="F134" s="94" t="s">
        <v>869</v>
      </c>
      <c r="G134" s="5"/>
      <c r="H134" s="5"/>
      <c r="I134" s="5"/>
      <c r="J134" s="5"/>
      <c r="K134" s="5"/>
      <c r="L134" s="5"/>
      <c r="M134" s="5"/>
      <c r="N134" s="5"/>
      <c r="O134" s="5"/>
      <c r="P134" s="5"/>
      <c r="Q134" s="5"/>
      <c r="R134" s="5"/>
      <c r="S134" s="5"/>
      <c r="T134" s="84" t="s">
        <v>1029</v>
      </c>
      <c r="U134" s="5"/>
      <c r="V134" s="205" t="s">
        <v>994</v>
      </c>
    </row>
    <row r="135" spans="2:22" ht="19.5" thickBot="1">
      <c r="C135" s="64"/>
      <c r="M135" s="69" t="s">
        <v>810</v>
      </c>
      <c r="N135" s="82">
        <f>SUM(N134:N134)</f>
        <v>0</v>
      </c>
      <c r="O135" s="82">
        <f>SUM(O134:O134)</f>
        <v>0</v>
      </c>
      <c r="P135" s="82">
        <f>SUM(P134:P134)</f>
        <v>0</v>
      </c>
      <c r="Q135" s="95">
        <f>SUM(Q134:Q134)</f>
        <v>0</v>
      </c>
      <c r="R135" s="82"/>
    </row>
    <row r="136" spans="2:22">
      <c r="B136" s="60" t="s">
        <v>811</v>
      </c>
    </row>
    <row r="137" spans="2:22" ht="16.5" thickBot="1"/>
    <row r="138" spans="2:22" ht="16.5" thickBot="1">
      <c r="B138" s="337" t="s">
        <v>764</v>
      </c>
      <c r="C138" s="338"/>
      <c r="D138" s="338"/>
      <c r="E138" s="339"/>
      <c r="F138" s="333" t="s">
        <v>765</v>
      </c>
      <c r="G138" s="308" t="s">
        <v>766</v>
      </c>
      <c r="H138" s="310"/>
      <c r="I138" s="308" t="s">
        <v>767</v>
      </c>
      <c r="J138" s="309"/>
      <c r="K138" s="309"/>
      <c r="L138" s="309"/>
      <c r="M138" s="309" t="s">
        <v>768</v>
      </c>
      <c r="N138" s="309"/>
      <c r="O138" s="309"/>
      <c r="P138" s="309"/>
      <c r="Q138" s="309"/>
      <c r="R138" s="310"/>
      <c r="S138" s="333" t="s">
        <v>769</v>
      </c>
      <c r="T138" s="333" t="s">
        <v>770</v>
      </c>
      <c r="U138" s="335" t="s">
        <v>771</v>
      </c>
      <c r="V138" s="266" t="s">
        <v>772</v>
      </c>
    </row>
    <row r="139" spans="2:22" ht="16.5" thickBot="1">
      <c r="B139" s="51" t="s">
        <v>773</v>
      </c>
      <c r="C139" s="51" t="s">
        <v>774</v>
      </c>
      <c r="D139" s="51" t="s">
        <v>775</v>
      </c>
      <c r="E139" s="51" t="s">
        <v>24</v>
      </c>
      <c r="F139" s="334"/>
      <c r="G139" s="51" t="s">
        <v>776</v>
      </c>
      <c r="H139" s="51" t="s">
        <v>256</v>
      </c>
      <c r="I139" s="51" t="s">
        <v>777</v>
      </c>
      <c r="J139" s="51" t="s">
        <v>259</v>
      </c>
      <c r="K139" s="51" t="s">
        <v>778</v>
      </c>
      <c r="L139" s="51" t="s">
        <v>261</v>
      </c>
      <c r="M139" s="51" t="s">
        <v>779</v>
      </c>
      <c r="N139" s="51" t="s">
        <v>259</v>
      </c>
      <c r="O139" s="51" t="s">
        <v>778</v>
      </c>
      <c r="P139" s="51" t="s">
        <v>261</v>
      </c>
      <c r="Q139" s="51" t="s">
        <v>780</v>
      </c>
      <c r="R139" s="51" t="s">
        <v>779</v>
      </c>
      <c r="S139" s="334"/>
      <c r="T139" s="334"/>
      <c r="U139" s="336"/>
      <c r="V139" s="266"/>
    </row>
    <row r="140" spans="2:22" ht="171" customHeight="1" thickBot="1">
      <c r="B140" s="59">
        <v>3</v>
      </c>
      <c r="C140" s="57" t="s">
        <v>995</v>
      </c>
      <c r="D140" s="5"/>
      <c r="E140" s="5"/>
      <c r="F140" s="94" t="s">
        <v>869</v>
      </c>
      <c r="G140" s="5"/>
      <c r="H140" s="5"/>
      <c r="I140" s="5"/>
      <c r="J140" s="5"/>
      <c r="K140" s="5"/>
      <c r="L140" s="5"/>
      <c r="M140" s="5"/>
      <c r="N140" s="5"/>
      <c r="O140" s="5"/>
      <c r="P140" s="5"/>
      <c r="Q140" s="5"/>
      <c r="R140" s="5"/>
      <c r="S140" s="5"/>
      <c r="T140" s="84" t="s">
        <v>1030</v>
      </c>
      <c r="U140" s="5"/>
      <c r="V140" s="205" t="s">
        <v>994</v>
      </c>
    </row>
    <row r="141" spans="2:22" ht="19.5" thickBot="1">
      <c r="C141" s="64"/>
      <c r="M141" s="69" t="s">
        <v>810</v>
      </c>
      <c r="N141" s="82">
        <f>SUM(N140:N140)</f>
        <v>0</v>
      </c>
      <c r="O141" s="82">
        <f>SUM(O140:O140)</f>
        <v>0</v>
      </c>
      <c r="P141" s="82">
        <f>SUM(P140:P140)</f>
        <v>0</v>
      </c>
      <c r="Q141" s="95">
        <f>SUM(Q140:Q140)</f>
        <v>0</v>
      </c>
      <c r="R141" s="82"/>
    </row>
    <row r="142" spans="2:22">
      <c r="B142" s="60" t="s">
        <v>811</v>
      </c>
    </row>
    <row r="145" spans="2:18" ht="16.5" thickBot="1">
      <c r="B145" s="61" t="s">
        <v>888</v>
      </c>
    </row>
    <row r="146" spans="2:18" ht="16.5" thickBot="1">
      <c r="B146" s="58"/>
      <c r="C146" s="5" t="s">
        <v>889</v>
      </c>
    </row>
    <row r="147" spans="2:18" ht="16.5" thickBot="1">
      <c r="B147" s="59"/>
      <c r="C147" s="5" t="s">
        <v>890</v>
      </c>
    </row>
    <row r="148" spans="2:18" ht="16.5" thickBot="1"/>
    <row r="149" spans="2:18" ht="16.5" thickBot="1">
      <c r="F149" s="308" t="s">
        <v>1031</v>
      </c>
      <c r="G149" s="309"/>
      <c r="H149" s="309"/>
      <c r="I149" s="309"/>
      <c r="J149" s="309"/>
      <c r="K149" s="309"/>
      <c r="L149" s="309"/>
      <c r="M149" s="309"/>
      <c r="N149" s="309"/>
      <c r="O149" s="309"/>
      <c r="P149" s="309"/>
      <c r="Q149" s="309"/>
      <c r="R149" s="310"/>
    </row>
    <row r="150" spans="2:18" ht="16.5" thickBot="1">
      <c r="F150" s="313" t="s">
        <v>892</v>
      </c>
      <c r="G150" s="314"/>
      <c r="H150" s="86" t="s">
        <v>893</v>
      </c>
      <c r="I150" s="86" t="s">
        <v>259</v>
      </c>
      <c r="J150" s="86" t="s">
        <v>778</v>
      </c>
      <c r="K150" s="86" t="s">
        <v>261</v>
      </c>
      <c r="L150" s="86" t="s">
        <v>894</v>
      </c>
      <c r="M150" s="86" t="s">
        <v>895</v>
      </c>
      <c r="N150" s="86" t="s">
        <v>896</v>
      </c>
      <c r="O150" s="86" t="s">
        <v>897</v>
      </c>
      <c r="P150" s="86" t="s">
        <v>898</v>
      </c>
      <c r="Q150" s="86" t="s">
        <v>899</v>
      </c>
      <c r="R150" s="86" t="s">
        <v>900</v>
      </c>
    </row>
    <row r="151" spans="2:18" ht="16.5" thickBot="1">
      <c r="F151" s="315" t="s">
        <v>901</v>
      </c>
      <c r="G151" s="316"/>
      <c r="H151" s="87">
        <f>SUM(I151:R151)</f>
        <v>53455.665442360296</v>
      </c>
      <c r="I151" s="88">
        <f>N33+N61+N83+N104+N129</f>
        <v>234.47155480336215</v>
      </c>
      <c r="J151" s="88">
        <f>O33+O61+O83+O104+O129</f>
        <v>51850.414134959734</v>
      </c>
      <c r="K151" s="88">
        <f>P33+P61+P83+P104+P129</f>
        <v>1370.7797525971978</v>
      </c>
      <c r="L151" s="88"/>
      <c r="M151" s="88"/>
      <c r="N151" s="88"/>
      <c r="O151" s="88"/>
      <c r="P151" s="88"/>
      <c r="Q151" s="88"/>
      <c r="R151" s="88"/>
    </row>
    <row r="152" spans="2:18" ht="16.5" thickBot="1">
      <c r="F152" s="315" t="s">
        <v>902</v>
      </c>
      <c r="G152" s="316"/>
      <c r="H152" s="87">
        <f t="shared" ref="H152:H153" si="31">SUM(I152:R152)</f>
        <v>3.3188867529501334</v>
      </c>
      <c r="I152" s="88">
        <f>N40+N67+N89+N110+N135</f>
        <v>0</v>
      </c>
      <c r="J152" s="88">
        <f>O40+O67+O89+O110+O135</f>
        <v>3.3188867529501334</v>
      </c>
      <c r="K152" s="88">
        <f>P40+P67+P89+P110+P135</f>
        <v>0</v>
      </c>
      <c r="L152" s="88"/>
      <c r="M152" s="88"/>
      <c r="N152" s="88"/>
      <c r="O152" s="88"/>
      <c r="P152" s="88"/>
      <c r="Q152" s="88"/>
      <c r="R152" s="88"/>
    </row>
    <row r="153" spans="2:18" ht="16.5" thickBot="1">
      <c r="F153" s="315" t="s">
        <v>903</v>
      </c>
      <c r="G153" s="316"/>
      <c r="H153" s="87">
        <f t="shared" si="31"/>
        <v>10110.160251127672</v>
      </c>
      <c r="I153" s="88">
        <f>N52+N74+N95+N116+N141</f>
        <v>34.163628331982395</v>
      </c>
      <c r="J153" s="88">
        <f>O52+O74+O95+O116+O141</f>
        <v>9838.908382078891</v>
      </c>
      <c r="K153" s="88">
        <f>P52+P74+P95+P116+P141</f>
        <v>237.08824071679851</v>
      </c>
      <c r="L153" s="88"/>
      <c r="M153" s="88"/>
      <c r="N153" s="88"/>
      <c r="O153" s="88"/>
      <c r="P153" s="88"/>
      <c r="Q153" s="88"/>
      <c r="R153" s="88"/>
    </row>
    <row r="154" spans="2:18">
      <c r="F154" s="317" t="s">
        <v>904</v>
      </c>
      <c r="G154" s="318"/>
      <c r="H154" s="319"/>
      <c r="I154" s="323"/>
      <c r="J154" s="324"/>
      <c r="K154" s="324"/>
      <c r="L154" s="324"/>
      <c r="M154" s="324"/>
      <c r="N154" s="324"/>
      <c r="O154" s="324"/>
      <c r="P154" s="324"/>
      <c r="Q154" s="324"/>
      <c r="R154" s="325"/>
    </row>
    <row r="155" spans="2:18" ht="16.5" thickBot="1">
      <c r="F155" s="320"/>
      <c r="G155" s="321"/>
      <c r="H155" s="322"/>
      <c r="I155" s="326"/>
      <c r="J155" s="327"/>
      <c r="K155" s="327"/>
      <c r="L155" s="327"/>
      <c r="M155" s="327"/>
      <c r="N155" s="327"/>
      <c r="O155" s="327"/>
      <c r="P155" s="327"/>
      <c r="Q155" s="327"/>
      <c r="R155" s="328"/>
    </row>
    <row r="156" spans="2:18" ht="16.5" thickBot="1">
      <c r="F156" s="317" t="s">
        <v>905</v>
      </c>
      <c r="G156" s="318"/>
      <c r="H156" s="319"/>
      <c r="I156" s="329" t="s">
        <v>893</v>
      </c>
      <c r="J156" s="331">
        <f>L156+L157</f>
        <v>0</v>
      </c>
      <c r="K156" s="86" t="s">
        <v>906</v>
      </c>
      <c r="L156" s="89">
        <f>R33+R61+R83+R104+R129</f>
        <v>0</v>
      </c>
      <c r="M156" s="323"/>
      <c r="N156" s="324"/>
      <c r="O156" s="324"/>
      <c r="P156" s="324"/>
      <c r="Q156" s="324"/>
      <c r="R156" s="325"/>
    </row>
    <row r="157" spans="2:18" ht="16.5" thickBot="1">
      <c r="F157" s="320"/>
      <c r="G157" s="321"/>
      <c r="H157" s="322"/>
      <c r="I157" s="330"/>
      <c r="J157" s="332"/>
      <c r="K157" s="86" t="s">
        <v>907</v>
      </c>
      <c r="L157" s="88">
        <f>R52+R74+R95+R116+R141</f>
        <v>0</v>
      </c>
      <c r="M157" s="326"/>
      <c r="N157" s="327"/>
      <c r="O157" s="327"/>
      <c r="P157" s="327"/>
      <c r="Q157" s="327"/>
      <c r="R157" s="328"/>
    </row>
    <row r="158" spans="2:18" ht="16.5" thickBot="1">
      <c r="F158" s="90"/>
      <c r="G158" s="90"/>
      <c r="H158" s="90"/>
      <c r="I158" s="90"/>
      <c r="J158" s="90"/>
      <c r="K158" s="90"/>
      <c r="L158" s="90"/>
      <c r="M158" s="90"/>
      <c r="N158" s="90"/>
      <c r="O158" s="90"/>
      <c r="P158" s="90"/>
      <c r="Q158" s="90"/>
      <c r="R158" s="90"/>
    </row>
    <row r="159" spans="2:18" ht="16.5" thickBot="1">
      <c r="F159" s="311" t="s">
        <v>908</v>
      </c>
      <c r="G159" s="312"/>
      <c r="H159" s="91">
        <f>M55</f>
        <v>0</v>
      </c>
      <c r="I159"/>
      <c r="J159"/>
      <c r="K159" s="90"/>
      <c r="L159" s="90"/>
      <c r="M159" s="90"/>
      <c r="N159" s="90"/>
      <c r="O159" s="90"/>
      <c r="P159" s="90"/>
      <c r="Q159" s="90"/>
      <c r="R159" s="90"/>
    </row>
    <row r="160" spans="2:18" ht="16.5" thickBot="1">
      <c r="F160" s="311" t="s">
        <v>909</v>
      </c>
      <c r="G160" s="312"/>
      <c r="H160" s="91">
        <f>+SUM(H151:H153,H159)</f>
        <v>63569.144580240922</v>
      </c>
      <c r="I160" s="90"/>
      <c r="J160" s="90"/>
      <c r="K160" s="90"/>
      <c r="L160" s="90"/>
      <c r="M160" s="90"/>
      <c r="N160" s="90"/>
      <c r="O160" s="90"/>
      <c r="P160" s="90"/>
      <c r="Q160" s="90"/>
      <c r="R160" s="90"/>
    </row>
    <row r="205" spans="2:3">
      <c r="B205" s="61" t="s">
        <v>888</v>
      </c>
    </row>
    <row r="206" spans="2:3" ht="16.5" thickBot="1"/>
    <row r="207" spans="2:3" ht="16.5" thickBot="1">
      <c r="B207" s="58"/>
      <c r="C207" s="5" t="s">
        <v>889</v>
      </c>
    </row>
    <row r="208" spans="2:3" ht="16.5" thickBot="1">
      <c r="B208" s="59"/>
      <c r="C208" s="5" t="s">
        <v>890</v>
      </c>
    </row>
  </sheetData>
  <mergeCells count="151">
    <mergeCell ref="U138:U139"/>
    <mergeCell ref="V138:V139"/>
    <mergeCell ref="B55:C55"/>
    <mergeCell ref="T132:T133"/>
    <mergeCell ref="U132:U133"/>
    <mergeCell ref="V132:V133"/>
    <mergeCell ref="B138:E138"/>
    <mergeCell ref="F138:F139"/>
    <mergeCell ref="G138:H138"/>
    <mergeCell ref="I138:L138"/>
    <mergeCell ref="M138:R138"/>
    <mergeCell ref="S138:S139"/>
    <mergeCell ref="T138:T139"/>
    <mergeCell ref="S122:S123"/>
    <mergeCell ref="T122:T123"/>
    <mergeCell ref="U122:U123"/>
    <mergeCell ref="V122:V123"/>
    <mergeCell ref="B132:E132"/>
    <mergeCell ref="F132:F133"/>
    <mergeCell ref="G132:H132"/>
    <mergeCell ref="I132:L132"/>
    <mergeCell ref="M132:R132"/>
    <mergeCell ref="S132:S133"/>
    <mergeCell ref="B122:E122"/>
    <mergeCell ref="V107:V108"/>
    <mergeCell ref="B113:E113"/>
    <mergeCell ref="F113:F114"/>
    <mergeCell ref="G113:H113"/>
    <mergeCell ref="I113:L113"/>
    <mergeCell ref="M113:R113"/>
    <mergeCell ref="S113:S114"/>
    <mergeCell ref="T113:T114"/>
    <mergeCell ref="U113:U114"/>
    <mergeCell ref="V113:V114"/>
    <mergeCell ref="B107:E107"/>
    <mergeCell ref="F107:F108"/>
    <mergeCell ref="G107:H107"/>
    <mergeCell ref="I107:L107"/>
    <mergeCell ref="M107:R107"/>
    <mergeCell ref="S107:S108"/>
    <mergeCell ref="T107:T108"/>
    <mergeCell ref="U107:U108"/>
    <mergeCell ref="F122:F123"/>
    <mergeCell ref="G122:H122"/>
    <mergeCell ref="I122:M122"/>
    <mergeCell ref="N122:R122"/>
    <mergeCell ref="B101:E101"/>
    <mergeCell ref="F101:F102"/>
    <mergeCell ref="G101:H101"/>
    <mergeCell ref="I101:M101"/>
    <mergeCell ref="N101:R101"/>
    <mergeCell ref="S101:S102"/>
    <mergeCell ref="T101:T102"/>
    <mergeCell ref="U101:U102"/>
    <mergeCell ref="V101:V102"/>
    <mergeCell ref="B92:E92"/>
    <mergeCell ref="F92:F93"/>
    <mergeCell ref="G92:H92"/>
    <mergeCell ref="I92:L92"/>
    <mergeCell ref="M92:R92"/>
    <mergeCell ref="S92:S93"/>
    <mergeCell ref="T92:T93"/>
    <mergeCell ref="U92:U93"/>
    <mergeCell ref="V92:V93"/>
    <mergeCell ref="B86:E86"/>
    <mergeCell ref="F86:F87"/>
    <mergeCell ref="G86:H86"/>
    <mergeCell ref="I86:L86"/>
    <mergeCell ref="M86:R86"/>
    <mergeCell ref="S86:S87"/>
    <mergeCell ref="T86:T87"/>
    <mergeCell ref="U86:U87"/>
    <mergeCell ref="V86:V87"/>
    <mergeCell ref="B80:E80"/>
    <mergeCell ref="F80:F81"/>
    <mergeCell ref="G80:H80"/>
    <mergeCell ref="I80:M80"/>
    <mergeCell ref="N80:R80"/>
    <mergeCell ref="V64:V65"/>
    <mergeCell ref="B70:E70"/>
    <mergeCell ref="F70:F71"/>
    <mergeCell ref="G70:H70"/>
    <mergeCell ref="I70:L70"/>
    <mergeCell ref="M70:R70"/>
    <mergeCell ref="S70:S71"/>
    <mergeCell ref="T70:T71"/>
    <mergeCell ref="U70:U71"/>
    <mergeCell ref="V70:V71"/>
    <mergeCell ref="S80:S81"/>
    <mergeCell ref="T80:T81"/>
    <mergeCell ref="U80:U81"/>
    <mergeCell ref="V80:V81"/>
    <mergeCell ref="B64:E64"/>
    <mergeCell ref="F64:F65"/>
    <mergeCell ref="G64:H64"/>
    <mergeCell ref="I64:L64"/>
    <mergeCell ref="M64:R64"/>
    <mergeCell ref="S64:S65"/>
    <mergeCell ref="T64:T65"/>
    <mergeCell ref="U64:U65"/>
    <mergeCell ref="B78:C78"/>
    <mergeCell ref="B57:E57"/>
    <mergeCell ref="F57:F58"/>
    <mergeCell ref="G57:H57"/>
    <mergeCell ref="I57:M57"/>
    <mergeCell ref="N57:R57"/>
    <mergeCell ref="S57:S58"/>
    <mergeCell ref="T57:T58"/>
    <mergeCell ref="U57:U58"/>
    <mergeCell ref="V57:V58"/>
    <mergeCell ref="B43:E43"/>
    <mergeCell ref="F43:F44"/>
    <mergeCell ref="G43:H43"/>
    <mergeCell ref="I43:L43"/>
    <mergeCell ref="M43:R43"/>
    <mergeCell ref="S43:S44"/>
    <mergeCell ref="T43:T44"/>
    <mergeCell ref="U43:U44"/>
    <mergeCell ref="V43:V44"/>
    <mergeCell ref="V7:V8"/>
    <mergeCell ref="B36:E36"/>
    <mergeCell ref="F36:F37"/>
    <mergeCell ref="G36:H36"/>
    <mergeCell ref="I36:L36"/>
    <mergeCell ref="M36:R36"/>
    <mergeCell ref="S36:S37"/>
    <mergeCell ref="T36:T37"/>
    <mergeCell ref="U36:U37"/>
    <mergeCell ref="V36:V37"/>
    <mergeCell ref="B5:C5"/>
    <mergeCell ref="B7:E7"/>
    <mergeCell ref="F7:F8"/>
    <mergeCell ref="G7:H7"/>
    <mergeCell ref="I7:M7"/>
    <mergeCell ref="N7:R7"/>
    <mergeCell ref="S7:S8"/>
    <mergeCell ref="T7:T8"/>
    <mergeCell ref="U7:U8"/>
    <mergeCell ref="F159:G159"/>
    <mergeCell ref="F160:G160"/>
    <mergeCell ref="F149:R149"/>
    <mergeCell ref="F150:G150"/>
    <mergeCell ref="F151:G151"/>
    <mergeCell ref="F152:G152"/>
    <mergeCell ref="F153:G153"/>
    <mergeCell ref="F154:H155"/>
    <mergeCell ref="I154:R155"/>
    <mergeCell ref="F156:H157"/>
    <mergeCell ref="I156:I157"/>
    <mergeCell ref="J156:J157"/>
    <mergeCell ref="M156:R157"/>
  </mergeCells>
  <hyperlinks>
    <hyperlink ref="C1" location="'Información general'!A1" display="Inicio" xr:uid="{00000000-0004-0000-0500-000000000000}"/>
    <hyperlink ref="V66" r:id="rId1" xr:uid="{3438DD2C-75CE-4843-9452-7FACB45AC560}"/>
    <hyperlink ref="V82" r:id="rId2" xr:uid="{4DA7908E-F055-4761-B73C-44C1D9D26987}"/>
    <hyperlink ref="V88" r:id="rId3" xr:uid="{73131913-A48F-42C5-AC5E-36CA7F8BFF70}"/>
    <hyperlink ref="V94" r:id="rId4" xr:uid="{05F60E14-F930-4E5F-8797-814FECF6E286}"/>
    <hyperlink ref="V103" r:id="rId5" xr:uid="{B32F368D-0EE4-49B9-8DA4-6B920B00DA21}"/>
    <hyperlink ref="V109" r:id="rId6" xr:uid="{D33271B4-EA17-4913-AD7B-9503C8087AC9}"/>
    <hyperlink ref="V115" r:id="rId7" xr:uid="{6C189BFB-E59D-4D45-917A-CA6A69C5D5FB}"/>
    <hyperlink ref="V134" r:id="rId8" xr:uid="{E6D13841-F98D-4EB3-B912-19D2A5104CF2}"/>
    <hyperlink ref="V140" r:id="rId9" xr:uid="{5EAC6051-AEC3-42AE-9C36-746453231C8E}"/>
  </hyperlinks>
  <pageMargins left="0.7" right="0.7" top="0.75" bottom="0.75" header="0.3" footer="0.3"/>
  <pageSetup orientation="portrait" horizontalDpi="300" verticalDpi="0" r:id="rId10"/>
  <drawing r:id="rId1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7" tint="0.59999389629810485"/>
  </sheetPr>
  <dimension ref="A1:V92"/>
  <sheetViews>
    <sheetView showGridLines="0" topLeftCell="D69" zoomScale="55" zoomScaleNormal="55" workbookViewId="0">
      <selection activeCell="Q68" sqref="Q68"/>
    </sheetView>
  </sheetViews>
  <sheetFormatPr defaultColWidth="11.42578125" defaultRowHeight="15.75"/>
  <cols>
    <col min="1" max="2" width="11.42578125" style="55"/>
    <col min="3" max="3" width="46.85546875" style="55" customWidth="1"/>
    <col min="4" max="4" width="45.28515625" style="55" customWidth="1"/>
    <col min="5" max="5" width="56.85546875" style="55" customWidth="1"/>
    <col min="6" max="6" width="17.7109375" style="55" customWidth="1"/>
    <col min="7" max="7" width="15.140625" style="55" customWidth="1"/>
    <col min="8" max="8" width="19.28515625" style="55" customWidth="1"/>
    <col min="9" max="9" width="26.7109375" style="55" bestFit="1" customWidth="1"/>
    <col min="10" max="10" width="18.85546875" style="55" customWidth="1"/>
    <col min="11" max="11" width="11.42578125" style="55"/>
    <col min="12" max="12" width="13.5703125" style="55" bestFit="1" customWidth="1"/>
    <col min="13" max="13" width="11.42578125" style="55"/>
    <col min="14" max="14" width="11.42578125" style="55" customWidth="1"/>
    <col min="15" max="16" width="11.42578125" style="55"/>
    <col min="17" max="17" width="16.85546875" style="55" bestFit="1" customWidth="1"/>
    <col min="18" max="18" width="11.42578125" style="55"/>
    <col min="19" max="19" width="20.85546875" style="55" customWidth="1"/>
    <col min="20" max="20" width="46" style="55" customWidth="1"/>
    <col min="21" max="21" width="40.28515625" style="55" customWidth="1"/>
    <col min="22" max="22" width="45.140625" style="55" customWidth="1"/>
    <col min="23" max="23" width="57.85546875" style="55" customWidth="1"/>
    <col min="24" max="16384" width="11.42578125" style="55"/>
  </cols>
  <sheetData>
    <row r="1" spans="1:22" ht="18.75">
      <c r="C1" s="66" t="s">
        <v>21</v>
      </c>
    </row>
    <row r="3" spans="1:22" ht="19.5" thickBot="1">
      <c r="B3" s="62" t="s">
        <v>1032</v>
      </c>
      <c r="C3" s="6"/>
      <c r="D3" s="6"/>
      <c r="E3" s="6"/>
      <c r="F3" s="6"/>
      <c r="G3" s="6"/>
      <c r="H3" s="6"/>
      <c r="I3" s="6"/>
      <c r="J3" s="6"/>
      <c r="K3" s="6"/>
      <c r="L3" s="6"/>
      <c r="M3" s="6"/>
      <c r="N3" s="6"/>
      <c r="O3" s="6"/>
      <c r="P3" s="6"/>
      <c r="Q3" s="6"/>
      <c r="R3" s="6"/>
      <c r="S3" s="6"/>
      <c r="T3" s="6"/>
      <c r="U3" s="6"/>
      <c r="V3" s="6"/>
    </row>
    <row r="5" spans="1:22">
      <c r="B5" s="341" t="s">
        <v>1033</v>
      </c>
      <c r="C5" s="341"/>
      <c r="D5" s="341"/>
    </row>
    <row r="6" spans="1:22" ht="16.5" thickBot="1"/>
    <row r="7" spans="1:22" ht="16.5" thickBot="1">
      <c r="B7" s="266" t="s">
        <v>764</v>
      </c>
      <c r="C7" s="266"/>
      <c r="D7" s="266"/>
      <c r="E7" s="266"/>
      <c r="F7" s="340" t="s">
        <v>765</v>
      </c>
      <c r="G7" s="266" t="s">
        <v>766</v>
      </c>
      <c r="H7" s="266"/>
      <c r="I7" s="308" t="s">
        <v>767</v>
      </c>
      <c r="J7" s="309"/>
      <c r="K7" s="309"/>
      <c r="L7" s="309"/>
      <c r="M7" s="310"/>
      <c r="N7" s="308" t="s">
        <v>768</v>
      </c>
      <c r="O7" s="309"/>
      <c r="P7" s="309"/>
      <c r="Q7" s="309"/>
      <c r="R7" s="310"/>
      <c r="S7" s="340" t="s">
        <v>769</v>
      </c>
      <c r="T7" s="340" t="s">
        <v>770</v>
      </c>
      <c r="U7" s="266" t="s">
        <v>771</v>
      </c>
      <c r="V7" s="266" t="s">
        <v>772</v>
      </c>
    </row>
    <row r="8" spans="1:22" ht="16.5" thickBot="1">
      <c r="B8" s="51" t="s">
        <v>773</v>
      </c>
      <c r="C8" s="51" t="s">
        <v>774</v>
      </c>
      <c r="D8" s="51" t="s">
        <v>775</v>
      </c>
      <c r="E8" s="51" t="s">
        <v>24</v>
      </c>
      <c r="F8" s="340"/>
      <c r="G8" s="51" t="s">
        <v>776</v>
      </c>
      <c r="H8" s="51" t="s">
        <v>256</v>
      </c>
      <c r="I8" s="51" t="s">
        <v>777</v>
      </c>
      <c r="J8" s="51" t="s">
        <v>259</v>
      </c>
      <c r="K8" s="51" t="s">
        <v>778</v>
      </c>
      <c r="L8" s="51" t="s">
        <v>261</v>
      </c>
      <c r="M8" s="51" t="s">
        <v>779</v>
      </c>
      <c r="N8" s="51" t="s">
        <v>259</v>
      </c>
      <c r="O8" s="51" t="s">
        <v>778</v>
      </c>
      <c r="P8" s="51" t="s">
        <v>261</v>
      </c>
      <c r="Q8" s="51" t="s">
        <v>780</v>
      </c>
      <c r="R8" s="51" t="s">
        <v>779</v>
      </c>
      <c r="S8" s="340"/>
      <c r="T8" s="340"/>
      <c r="U8" s="266"/>
      <c r="V8" s="266"/>
    </row>
    <row r="9" spans="1:22" ht="79.5" hidden="1" thickBot="1">
      <c r="A9" s="56" t="s">
        <v>174</v>
      </c>
      <c r="B9" s="58">
        <v>1</v>
      </c>
      <c r="C9" s="53" t="s">
        <v>1034</v>
      </c>
      <c r="D9" s="53" t="s">
        <v>1035</v>
      </c>
      <c r="E9" s="53" t="s">
        <v>1036</v>
      </c>
      <c r="F9" s="52"/>
      <c r="G9" s="52">
        <v>54000000</v>
      </c>
      <c r="H9" s="52" t="s">
        <v>784</v>
      </c>
      <c r="I9" s="52" t="s">
        <v>1037</v>
      </c>
      <c r="J9" s="52">
        <v>5.8099999999999999E-2</v>
      </c>
      <c r="K9" s="52"/>
      <c r="L9" s="52"/>
      <c r="M9" s="52"/>
      <c r="N9" s="52">
        <f>G9*J9*21</f>
        <v>65885400</v>
      </c>
      <c r="O9" s="52">
        <f>G9*K9*1</f>
        <v>0</v>
      </c>
      <c r="P9" s="52">
        <f>G9*L9*310</f>
        <v>0</v>
      </c>
      <c r="Q9" s="52">
        <f>(N9+O9+P9)/1000</f>
        <v>65885.399999999994</v>
      </c>
      <c r="R9" s="52"/>
      <c r="S9" s="52" t="s">
        <v>793</v>
      </c>
      <c r="T9" s="53" t="s">
        <v>1038</v>
      </c>
      <c r="U9" s="53" t="s">
        <v>1039</v>
      </c>
      <c r="V9" s="53" t="s">
        <v>1040</v>
      </c>
    </row>
    <row r="10" spans="1:22" ht="150" customHeight="1" thickBot="1">
      <c r="B10" s="58">
        <v>1</v>
      </c>
      <c r="C10" s="93" t="s">
        <v>1034</v>
      </c>
      <c r="D10" s="93" t="s">
        <v>1041</v>
      </c>
      <c r="E10" s="93" t="s">
        <v>1042</v>
      </c>
      <c r="F10" s="94" t="s">
        <v>869</v>
      </c>
      <c r="G10" s="5"/>
      <c r="H10" s="5"/>
      <c r="I10" s="5"/>
      <c r="J10" s="5"/>
      <c r="K10" s="5"/>
      <c r="L10" s="5"/>
      <c r="M10" s="5"/>
      <c r="N10" s="5"/>
      <c r="O10" s="5"/>
      <c r="P10" s="5"/>
      <c r="Q10" s="5"/>
      <c r="R10" s="5"/>
      <c r="S10" s="84"/>
      <c r="T10" s="84" t="s">
        <v>1043</v>
      </c>
      <c r="U10" s="84" t="s">
        <v>1039</v>
      </c>
      <c r="V10" s="84" t="s">
        <v>1044</v>
      </c>
    </row>
    <row r="11" spans="1:22" ht="19.5" thickBot="1">
      <c r="C11" s="64"/>
      <c r="M11" s="69" t="s">
        <v>810</v>
      </c>
      <c r="N11" s="82">
        <f>SUM(N10:N10)</f>
        <v>0</v>
      </c>
      <c r="O11" s="82">
        <f>SUM(O10:O10)</f>
        <v>0</v>
      </c>
      <c r="P11" s="82">
        <f>SUM(P10:P10)</f>
        <v>0</v>
      </c>
      <c r="Q11" s="70">
        <f>SUM(Q10:Q10)</f>
        <v>0</v>
      </c>
      <c r="R11" s="5"/>
    </row>
    <row r="12" spans="1:22">
      <c r="B12" s="60" t="s">
        <v>811</v>
      </c>
    </row>
    <row r="13" spans="1:22" ht="16.5" thickBot="1"/>
    <row r="14" spans="1:22" ht="24.75" customHeight="1" thickBot="1">
      <c r="B14" s="337" t="s">
        <v>764</v>
      </c>
      <c r="C14" s="338"/>
      <c r="D14" s="338"/>
      <c r="E14" s="339"/>
      <c r="F14" s="333" t="s">
        <v>765</v>
      </c>
      <c r="G14" s="308" t="s">
        <v>766</v>
      </c>
      <c r="H14" s="310"/>
      <c r="I14" s="308" t="s">
        <v>767</v>
      </c>
      <c r="J14" s="309"/>
      <c r="K14" s="309"/>
      <c r="L14" s="309"/>
      <c r="M14" s="310"/>
      <c r="N14" s="308" t="s">
        <v>768</v>
      </c>
      <c r="O14" s="309"/>
      <c r="P14" s="309"/>
      <c r="Q14" s="309"/>
      <c r="R14" s="310"/>
      <c r="S14" s="333" t="s">
        <v>769</v>
      </c>
      <c r="T14" s="333" t="s">
        <v>770</v>
      </c>
      <c r="U14" s="335" t="s">
        <v>771</v>
      </c>
      <c r="V14" s="266" t="s">
        <v>772</v>
      </c>
    </row>
    <row r="15" spans="1:22" ht="16.5" thickBot="1">
      <c r="B15" s="51" t="s">
        <v>773</v>
      </c>
      <c r="C15" s="51" t="s">
        <v>774</v>
      </c>
      <c r="D15" s="51" t="s">
        <v>775</v>
      </c>
      <c r="E15" s="51" t="s">
        <v>24</v>
      </c>
      <c r="F15" s="334"/>
      <c r="G15" s="51" t="s">
        <v>776</v>
      </c>
      <c r="H15" s="51" t="s">
        <v>256</v>
      </c>
      <c r="I15" s="51" t="s">
        <v>777</v>
      </c>
      <c r="J15" s="51" t="s">
        <v>259</v>
      </c>
      <c r="K15" s="51" t="s">
        <v>778</v>
      </c>
      <c r="L15" s="51" t="s">
        <v>261</v>
      </c>
      <c r="M15" s="51" t="s">
        <v>779</v>
      </c>
      <c r="N15" s="51" t="s">
        <v>259</v>
      </c>
      <c r="O15" s="51" t="s">
        <v>778</v>
      </c>
      <c r="P15" s="51" t="s">
        <v>261</v>
      </c>
      <c r="Q15" s="51" t="s">
        <v>780</v>
      </c>
      <c r="R15" s="51" t="s">
        <v>779</v>
      </c>
      <c r="S15" s="334"/>
      <c r="T15" s="334"/>
      <c r="U15" s="336"/>
      <c r="V15" s="266"/>
    </row>
    <row r="16" spans="1:22" ht="118.5" customHeight="1" thickBot="1">
      <c r="B16" s="58">
        <v>3</v>
      </c>
      <c r="C16" s="57" t="s">
        <v>1045</v>
      </c>
      <c r="D16" s="93" t="s">
        <v>1041</v>
      </c>
      <c r="E16" s="93" t="s">
        <v>1046</v>
      </c>
      <c r="F16" s="5"/>
      <c r="G16" s="81">
        <f>'4.3. ANEXOS Residuos'!D9</f>
        <v>8380010</v>
      </c>
      <c r="H16" s="5" t="s">
        <v>1047</v>
      </c>
      <c r="I16" s="57" t="str">
        <f>'1.3. Factores de emisión'!D8</f>
        <v>kg CH4 / Kg de residuos sólidos</v>
      </c>
      <c r="J16" s="5">
        <f>'1.3. Factores de emisión'!E8</f>
        <v>5.1900000000000002E-2</v>
      </c>
      <c r="K16" s="5"/>
      <c r="L16" s="5"/>
      <c r="M16" s="5"/>
      <c r="N16" s="82">
        <f>J16*G16*'1.3. Factores de emisión'!E162/1000</f>
        <v>9133.372899</v>
      </c>
      <c r="O16" s="5"/>
      <c r="P16" s="5"/>
      <c r="Q16" s="82">
        <f>SUM(N16:P16)</f>
        <v>9133.372899</v>
      </c>
      <c r="R16" s="5"/>
      <c r="S16" s="84" t="s">
        <v>793</v>
      </c>
      <c r="T16" s="84" t="s">
        <v>1048</v>
      </c>
      <c r="U16" s="84" t="s">
        <v>1039</v>
      </c>
      <c r="V16" s="84" t="s">
        <v>1049</v>
      </c>
    </row>
    <row r="17" spans="2:22" ht="19.5" thickBot="1">
      <c r="C17" s="64"/>
      <c r="M17" s="69" t="s">
        <v>810</v>
      </c>
      <c r="N17" s="82">
        <f>SUM(N16)</f>
        <v>9133.372899</v>
      </c>
      <c r="O17" s="82"/>
      <c r="P17" s="82"/>
      <c r="Q17" s="95">
        <f>SUM(Q16)</f>
        <v>9133.372899</v>
      </c>
      <c r="R17" s="5"/>
    </row>
    <row r="18" spans="2:22">
      <c r="B18" s="60" t="s">
        <v>811</v>
      </c>
    </row>
    <row r="21" spans="2:22">
      <c r="B21" s="341" t="s">
        <v>1050</v>
      </c>
      <c r="C21" s="341"/>
    </row>
    <row r="22" spans="2:22" ht="16.5" thickBot="1"/>
    <row r="23" spans="2:22" ht="16.5" thickBot="1">
      <c r="B23" s="266" t="s">
        <v>764</v>
      </c>
      <c r="C23" s="266"/>
      <c r="D23" s="266"/>
      <c r="E23" s="266"/>
      <c r="F23" s="340" t="s">
        <v>765</v>
      </c>
      <c r="G23" s="266" t="s">
        <v>766</v>
      </c>
      <c r="H23" s="266"/>
      <c r="I23" s="308" t="s">
        <v>767</v>
      </c>
      <c r="J23" s="309"/>
      <c r="K23" s="309"/>
      <c r="L23" s="309"/>
      <c r="M23" s="310"/>
      <c r="N23" s="308" t="s">
        <v>768</v>
      </c>
      <c r="O23" s="309"/>
      <c r="P23" s="309"/>
      <c r="Q23" s="309"/>
      <c r="R23" s="310"/>
      <c r="S23" s="340" t="s">
        <v>769</v>
      </c>
      <c r="T23" s="340" t="s">
        <v>770</v>
      </c>
      <c r="U23" s="266" t="s">
        <v>771</v>
      </c>
      <c r="V23" s="266" t="s">
        <v>772</v>
      </c>
    </row>
    <row r="24" spans="2:22" ht="16.5" thickBot="1">
      <c r="B24" s="51" t="s">
        <v>773</v>
      </c>
      <c r="C24" s="51" t="s">
        <v>774</v>
      </c>
      <c r="D24" s="51" t="s">
        <v>775</v>
      </c>
      <c r="E24" s="51" t="s">
        <v>24</v>
      </c>
      <c r="F24" s="340"/>
      <c r="G24" s="51" t="s">
        <v>776</v>
      </c>
      <c r="H24" s="51" t="s">
        <v>256</v>
      </c>
      <c r="I24" s="51" t="s">
        <v>777</v>
      </c>
      <c r="J24" s="51" t="s">
        <v>259</v>
      </c>
      <c r="K24" s="51" t="s">
        <v>778</v>
      </c>
      <c r="L24" s="51" t="s">
        <v>261</v>
      </c>
      <c r="M24" s="51" t="s">
        <v>779</v>
      </c>
      <c r="N24" s="51" t="s">
        <v>259</v>
      </c>
      <c r="O24" s="51" t="s">
        <v>778</v>
      </c>
      <c r="P24" s="51" t="s">
        <v>261</v>
      </c>
      <c r="Q24" s="51" t="s">
        <v>780</v>
      </c>
      <c r="R24" s="51" t="s">
        <v>779</v>
      </c>
      <c r="S24" s="340"/>
      <c r="T24" s="340"/>
      <c r="U24" s="266"/>
      <c r="V24" s="266"/>
    </row>
    <row r="25" spans="2:22" ht="84.75" customHeight="1" thickBot="1">
      <c r="B25" s="58">
        <v>1</v>
      </c>
      <c r="C25" s="57" t="s">
        <v>1051</v>
      </c>
      <c r="D25" s="85" t="s">
        <v>1052</v>
      </c>
      <c r="E25" s="85" t="s">
        <v>1053</v>
      </c>
      <c r="F25" s="5"/>
      <c r="G25" s="81">
        <f>'4.3. ANEXOS Residuos'!C18</f>
        <v>747514.2160763467</v>
      </c>
      <c r="H25" s="57" t="s">
        <v>1054</v>
      </c>
      <c r="I25" s="57" t="s">
        <v>267</v>
      </c>
      <c r="J25" s="57">
        <f>'1.3. Factores de emisión'!E9</f>
        <v>4.0000000000000001E-3</v>
      </c>
      <c r="K25" s="5"/>
      <c r="L25" s="5">
        <f>'1.3. Factores de emisión'!G9</f>
        <v>2.3999999999999998E-4</v>
      </c>
      <c r="M25" s="5"/>
      <c r="N25" s="83">
        <f>(G25*J25*'1.3. Factores de emisión'!$E$162)/1000</f>
        <v>62.791194150413119</v>
      </c>
      <c r="O25" s="5"/>
      <c r="P25" s="83">
        <f>(G25*L25*'1.3. Factores de emisión'!$E$163)/1000</f>
        <v>55.615057676080184</v>
      </c>
      <c r="Q25" s="83">
        <f t="shared" ref="Q25:Q27" si="0">SUM(N25:P25)</f>
        <v>118.4062518264933</v>
      </c>
      <c r="R25" s="5"/>
      <c r="S25" s="84" t="s">
        <v>793</v>
      </c>
      <c r="T25" s="84" t="s">
        <v>1055</v>
      </c>
      <c r="U25" s="84" t="s">
        <v>795</v>
      </c>
      <c r="V25" s="84" t="s">
        <v>796</v>
      </c>
    </row>
    <row r="26" spans="2:22" ht="78.75" customHeight="1" thickBot="1">
      <c r="B26" s="58">
        <v>1</v>
      </c>
      <c r="C26" s="57" t="s">
        <v>1051</v>
      </c>
      <c r="D26" s="85" t="s">
        <v>1056</v>
      </c>
      <c r="E26" s="85" t="s">
        <v>1057</v>
      </c>
      <c r="F26" s="5"/>
      <c r="G26" s="81">
        <f>'4.3. ANEXOS Residuos'!C22</f>
        <v>38602.803830985911</v>
      </c>
      <c r="H26" s="57" t="s">
        <v>1054</v>
      </c>
      <c r="I26" s="57" t="s">
        <v>267</v>
      </c>
      <c r="J26" s="57">
        <f>'1.3. Factores de emisión'!E9</f>
        <v>4.0000000000000001E-3</v>
      </c>
      <c r="K26" s="5"/>
      <c r="L26" s="5">
        <f>'1.3. Factores de emisión'!G9</f>
        <v>2.3999999999999998E-4</v>
      </c>
      <c r="M26" s="5"/>
      <c r="N26" s="83">
        <f>(G26*J26*'1.3. Factores de emisión'!$E$162)/1000</f>
        <v>3.2426355218028164</v>
      </c>
      <c r="O26" s="5"/>
      <c r="P26" s="83">
        <f>(G26*L26*'1.3. Factores de emisión'!$E$163)/1000</f>
        <v>2.8720486050253515</v>
      </c>
      <c r="Q26" s="83">
        <f t="shared" si="0"/>
        <v>6.114684126828168</v>
      </c>
      <c r="R26" s="5"/>
      <c r="S26" s="84" t="s">
        <v>793</v>
      </c>
      <c r="T26" s="84" t="s">
        <v>1055</v>
      </c>
      <c r="U26" s="84" t="s">
        <v>795</v>
      </c>
      <c r="V26" s="84" t="s">
        <v>796</v>
      </c>
    </row>
    <row r="27" spans="2:22" ht="91.5" customHeight="1" thickBot="1">
      <c r="B27" s="58">
        <v>1</v>
      </c>
      <c r="C27" s="57" t="s">
        <v>1034</v>
      </c>
      <c r="D27" s="85" t="s">
        <v>1058</v>
      </c>
      <c r="E27" s="93" t="s">
        <v>1059</v>
      </c>
      <c r="F27" s="5"/>
      <c r="G27" s="135">
        <f>'4.3. ANEXOS Residuos'!D178</f>
        <v>3.2629587704364887E-3</v>
      </c>
      <c r="H27" s="57" t="s">
        <v>1060</v>
      </c>
      <c r="I27" s="57" t="s">
        <v>411</v>
      </c>
      <c r="J27" s="83">
        <f>'1.3. Factores de emisión'!E131</f>
        <v>0.66666666666666663</v>
      </c>
      <c r="K27" s="5"/>
      <c r="L27" s="5"/>
      <c r="M27" s="5"/>
      <c r="N27" s="83">
        <f>(G27*J27*'1.3. Factores de emisión'!$E$162)*1000</f>
        <v>45.681422786110844</v>
      </c>
      <c r="O27" s="5"/>
      <c r="P27" s="83">
        <f>(G27*L27*'[1]1.3. Factores de emisión'!$E$186)/1000</f>
        <v>0</v>
      </c>
      <c r="Q27" s="83">
        <f t="shared" si="0"/>
        <v>45.681422786110844</v>
      </c>
      <c r="R27" s="5"/>
      <c r="S27" s="84" t="s">
        <v>793</v>
      </c>
      <c r="T27" s="84" t="s">
        <v>1061</v>
      </c>
      <c r="U27" s="84" t="s">
        <v>1062</v>
      </c>
      <c r="V27" s="84" t="s">
        <v>796</v>
      </c>
    </row>
    <row r="28" spans="2:22" ht="89.25" customHeight="1" thickBot="1">
      <c r="B28" s="58">
        <v>1</v>
      </c>
      <c r="C28" s="57" t="s">
        <v>1051</v>
      </c>
      <c r="D28" s="85" t="s">
        <v>1052</v>
      </c>
      <c r="E28" s="85" t="s">
        <v>1063</v>
      </c>
      <c r="F28" s="5"/>
      <c r="G28" s="135">
        <f>'4.3. ANEXOS Residuos'!C29</f>
        <v>5223.9640620408163</v>
      </c>
      <c r="H28" s="57" t="s">
        <v>1054</v>
      </c>
      <c r="I28" s="57" t="s">
        <v>267</v>
      </c>
      <c r="J28" s="121">
        <f>'1.3. Factores de emisión'!E9</f>
        <v>4.0000000000000001E-3</v>
      </c>
      <c r="K28" s="5"/>
      <c r="L28" s="5">
        <f>'1.3. Factores de emisión'!G9</f>
        <v>2.3999999999999998E-4</v>
      </c>
      <c r="M28" s="5"/>
      <c r="N28" s="83">
        <f>(G28*J28*'1.3. Factores de emisión'!$E$162)/1000</f>
        <v>0.43881298121142859</v>
      </c>
      <c r="O28" s="5"/>
      <c r="P28" s="83">
        <f>(G28*L28*'1.3. Factores de emisión'!$E$163)/1000</f>
        <v>0.38866292621583665</v>
      </c>
      <c r="Q28" s="83">
        <f>SUM(N28:P28)</f>
        <v>0.82747590742726529</v>
      </c>
      <c r="R28" s="5"/>
      <c r="S28" s="84" t="s">
        <v>793</v>
      </c>
      <c r="T28" s="84" t="s">
        <v>1064</v>
      </c>
      <c r="U28" s="84" t="s">
        <v>826</v>
      </c>
      <c r="V28" s="84" t="s">
        <v>796</v>
      </c>
    </row>
    <row r="29" spans="2:22" ht="89.25" customHeight="1" thickBot="1">
      <c r="B29" s="58">
        <v>1</v>
      </c>
      <c r="C29" s="57" t="s">
        <v>1051</v>
      </c>
      <c r="D29" s="85" t="s">
        <v>1052</v>
      </c>
      <c r="E29" s="85" t="s">
        <v>1065</v>
      </c>
      <c r="F29" s="5"/>
      <c r="G29" s="135">
        <f>'4.3. ANEXOS Residuos'!C36</f>
        <v>255874.16071428571</v>
      </c>
      <c r="H29" s="57" t="s">
        <v>1054</v>
      </c>
      <c r="I29" s="57" t="s">
        <v>267</v>
      </c>
      <c r="J29" s="121">
        <f>'1.3. Factores de emisión'!E9</f>
        <v>4.0000000000000001E-3</v>
      </c>
      <c r="K29" s="5"/>
      <c r="L29" s="5">
        <f>'1.3. Factores de emisión'!G9</f>
        <v>2.3999999999999998E-4</v>
      </c>
      <c r="M29" s="5"/>
      <c r="N29" s="83">
        <f>(G29*J29*'1.3. Factores de emisión'!$E$162)/1000</f>
        <v>21.493429500000001</v>
      </c>
      <c r="O29" s="5"/>
      <c r="P29" s="83">
        <f>(G29*L29*'1.3. Factores de emisión'!$E$163)/1000</f>
        <v>19.037037557142856</v>
      </c>
      <c r="Q29" s="83">
        <f>SUM(N29:P29)</f>
        <v>40.530467057142857</v>
      </c>
      <c r="R29" s="5"/>
      <c r="S29" s="84" t="s">
        <v>793</v>
      </c>
      <c r="T29" s="84" t="s">
        <v>1066</v>
      </c>
      <c r="U29" s="84" t="s">
        <v>946</v>
      </c>
      <c r="V29" s="84" t="s">
        <v>796</v>
      </c>
    </row>
    <row r="30" spans="2:22" ht="89.25" customHeight="1" thickBot="1">
      <c r="B30" s="58">
        <v>1</v>
      </c>
      <c r="C30" s="57" t="s">
        <v>1051</v>
      </c>
      <c r="D30" s="85" t="s">
        <v>1052</v>
      </c>
      <c r="E30" s="85" t="s">
        <v>1067</v>
      </c>
      <c r="F30" s="5"/>
      <c r="G30" s="135">
        <f>'4.3. ANEXOS Residuos'!C43</f>
        <v>132525.71428571426</v>
      </c>
      <c r="H30" s="57" t="s">
        <v>1054</v>
      </c>
      <c r="I30" s="57" t="s">
        <v>267</v>
      </c>
      <c r="J30" s="121">
        <f>'1.3. Factores de emisión'!E9</f>
        <v>4.0000000000000001E-3</v>
      </c>
      <c r="K30" s="5"/>
      <c r="L30" s="5">
        <f>'1.3. Factores de emisión'!G9</f>
        <v>2.3999999999999998E-4</v>
      </c>
      <c r="M30" s="5"/>
      <c r="N30" s="83">
        <f>(G30*J30*'1.3. Factores de emisión'!$E$162)/1000</f>
        <v>11.132159999999997</v>
      </c>
      <c r="O30" s="5"/>
      <c r="P30" s="83">
        <f>(G30*L30*'1.3. Factores de emisión'!$E$163)/1000</f>
        <v>9.85991314285714</v>
      </c>
      <c r="Q30" s="83">
        <f>SUM(N30:P30)</f>
        <v>20.992073142857137</v>
      </c>
      <c r="R30" s="5"/>
      <c r="S30" s="84" t="s">
        <v>793</v>
      </c>
      <c r="T30" s="84" t="s">
        <v>1068</v>
      </c>
      <c r="U30" s="84" t="s">
        <v>955</v>
      </c>
      <c r="V30" s="84" t="s">
        <v>796</v>
      </c>
    </row>
    <row r="31" spans="2:22" ht="19.5" thickBot="1">
      <c r="C31" s="64"/>
      <c r="M31" s="69" t="s">
        <v>810</v>
      </c>
      <c r="N31" s="82">
        <f>SUM(N25:N30)</f>
        <v>144.7796549395382</v>
      </c>
      <c r="O31" s="82">
        <f t="shared" ref="O31:P31" si="1">SUM(O25:O30)</f>
        <v>0</v>
      </c>
      <c r="P31" s="82">
        <f t="shared" si="1"/>
        <v>87.77271990732136</v>
      </c>
      <c r="Q31" s="95">
        <f>SUM(Q25:Q30)</f>
        <v>232.55237484685961</v>
      </c>
      <c r="R31" s="5"/>
      <c r="T31" s="92"/>
    </row>
    <row r="32" spans="2:22">
      <c r="B32" s="60" t="s">
        <v>811</v>
      </c>
    </row>
    <row r="33" spans="2:22" ht="16.5" thickBot="1"/>
    <row r="34" spans="2:22" ht="16.5" thickBot="1">
      <c r="B34" s="337" t="s">
        <v>764</v>
      </c>
      <c r="C34" s="338"/>
      <c r="D34" s="338"/>
      <c r="E34" s="339"/>
      <c r="F34" s="333" t="s">
        <v>765</v>
      </c>
      <c r="G34" s="308" t="s">
        <v>766</v>
      </c>
      <c r="H34" s="310"/>
      <c r="I34" s="308" t="s">
        <v>767</v>
      </c>
      <c r="J34" s="309"/>
      <c r="K34" s="309"/>
      <c r="L34" s="309"/>
      <c r="M34" s="310"/>
      <c r="N34" s="308" t="s">
        <v>768</v>
      </c>
      <c r="O34" s="309"/>
      <c r="P34" s="309"/>
      <c r="Q34" s="309"/>
      <c r="R34" s="310"/>
      <c r="S34" s="333" t="s">
        <v>769</v>
      </c>
      <c r="T34" s="333" t="s">
        <v>770</v>
      </c>
      <c r="U34" s="335" t="s">
        <v>771</v>
      </c>
      <c r="V34" s="266" t="s">
        <v>772</v>
      </c>
    </row>
    <row r="35" spans="2:22" ht="16.5" thickBot="1">
      <c r="B35" s="51" t="s">
        <v>773</v>
      </c>
      <c r="C35" s="51" t="s">
        <v>774</v>
      </c>
      <c r="D35" s="51" t="s">
        <v>775</v>
      </c>
      <c r="E35" s="51" t="s">
        <v>24</v>
      </c>
      <c r="F35" s="334"/>
      <c r="G35" s="51" t="s">
        <v>776</v>
      </c>
      <c r="H35" s="51" t="s">
        <v>256</v>
      </c>
      <c r="I35" s="51" t="s">
        <v>777</v>
      </c>
      <c r="J35" s="51" t="s">
        <v>259</v>
      </c>
      <c r="K35" s="51" t="s">
        <v>778</v>
      </c>
      <c r="L35" s="51" t="s">
        <v>261</v>
      </c>
      <c r="M35" s="51" t="s">
        <v>779</v>
      </c>
      <c r="N35" s="51" t="s">
        <v>259</v>
      </c>
      <c r="O35" s="51" t="s">
        <v>778</v>
      </c>
      <c r="P35" s="51" t="s">
        <v>261</v>
      </c>
      <c r="Q35" s="51" t="s">
        <v>780</v>
      </c>
      <c r="R35" s="51" t="s">
        <v>779</v>
      </c>
      <c r="S35" s="334"/>
      <c r="T35" s="334"/>
      <c r="U35" s="336"/>
      <c r="V35" s="266"/>
    </row>
    <row r="36" spans="2:22" ht="174" thickBot="1">
      <c r="B36" s="58">
        <v>3</v>
      </c>
      <c r="C36" s="57" t="s">
        <v>1069</v>
      </c>
      <c r="D36" s="5"/>
      <c r="E36" s="5"/>
      <c r="F36" s="84" t="s">
        <v>869</v>
      </c>
      <c r="G36" s="5"/>
      <c r="H36" s="5"/>
      <c r="I36" s="5"/>
      <c r="J36" s="5"/>
      <c r="K36" s="5"/>
      <c r="L36" s="5"/>
      <c r="M36" s="5"/>
      <c r="N36" s="5"/>
      <c r="O36" s="5"/>
      <c r="P36" s="5"/>
      <c r="Q36" s="5"/>
      <c r="R36" s="5"/>
      <c r="S36" s="5"/>
      <c r="T36" s="84" t="s">
        <v>1070</v>
      </c>
      <c r="U36" s="5"/>
      <c r="V36" s="205" t="s">
        <v>994</v>
      </c>
    </row>
    <row r="37" spans="2:22" ht="19.5" thickBot="1">
      <c r="C37" s="64"/>
      <c r="M37" s="69" t="s">
        <v>810</v>
      </c>
      <c r="N37" s="82">
        <f>N36</f>
        <v>0</v>
      </c>
      <c r="O37" s="82">
        <f>O36</f>
        <v>0</v>
      </c>
      <c r="P37" s="82">
        <f>P36</f>
        <v>0</v>
      </c>
      <c r="Q37" s="95">
        <f>Q36</f>
        <v>0</v>
      </c>
      <c r="R37" s="5"/>
    </row>
    <row r="38" spans="2:22">
      <c r="B38" s="60" t="s">
        <v>811</v>
      </c>
    </row>
    <row r="41" spans="2:22">
      <c r="B41" s="341" t="s">
        <v>1071</v>
      </c>
      <c r="C41" s="341"/>
      <c r="D41" s="341"/>
    </row>
    <row r="42" spans="2:22" ht="16.5" thickBot="1"/>
    <row r="43" spans="2:22" ht="16.5" thickBot="1">
      <c r="B43" s="266" t="s">
        <v>764</v>
      </c>
      <c r="C43" s="266"/>
      <c r="D43" s="266"/>
      <c r="E43" s="266"/>
      <c r="F43" s="340" t="s">
        <v>765</v>
      </c>
      <c r="G43" s="266" t="s">
        <v>766</v>
      </c>
      <c r="H43" s="266"/>
      <c r="I43" s="308" t="s">
        <v>767</v>
      </c>
      <c r="J43" s="309"/>
      <c r="K43" s="309"/>
      <c r="L43" s="309"/>
      <c r="M43" s="310"/>
      <c r="N43" s="308" t="s">
        <v>768</v>
      </c>
      <c r="O43" s="309"/>
      <c r="P43" s="309"/>
      <c r="Q43" s="309"/>
      <c r="R43" s="310"/>
      <c r="S43" s="340" t="s">
        <v>769</v>
      </c>
      <c r="T43" s="340" t="s">
        <v>770</v>
      </c>
      <c r="U43" s="266" t="s">
        <v>771</v>
      </c>
      <c r="V43" s="266" t="s">
        <v>772</v>
      </c>
    </row>
    <row r="44" spans="2:22" ht="16.5" thickBot="1">
      <c r="B44" s="51" t="s">
        <v>773</v>
      </c>
      <c r="C44" s="51" t="s">
        <v>774</v>
      </c>
      <c r="D44" s="51" t="s">
        <v>775</v>
      </c>
      <c r="E44" s="51" t="s">
        <v>24</v>
      </c>
      <c r="F44" s="340"/>
      <c r="G44" s="51" t="s">
        <v>776</v>
      </c>
      <c r="H44" s="51" t="s">
        <v>256</v>
      </c>
      <c r="I44" s="51" t="s">
        <v>777</v>
      </c>
      <c r="J44" s="51" t="s">
        <v>259</v>
      </c>
      <c r="K44" s="51" t="s">
        <v>778</v>
      </c>
      <c r="L44" s="51" t="s">
        <v>261</v>
      </c>
      <c r="M44" s="51" t="s">
        <v>779</v>
      </c>
      <c r="N44" s="51" t="s">
        <v>259</v>
      </c>
      <c r="O44" s="51" t="s">
        <v>778</v>
      </c>
      <c r="P44" s="51" t="s">
        <v>261</v>
      </c>
      <c r="Q44" s="51" t="s">
        <v>780</v>
      </c>
      <c r="R44" s="51" t="s">
        <v>779</v>
      </c>
      <c r="S44" s="340"/>
      <c r="T44" s="340"/>
      <c r="U44" s="266"/>
      <c r="V44" s="266"/>
    </row>
    <row r="45" spans="2:22" ht="213" customHeight="1" thickBot="1">
      <c r="B45" s="137">
        <v>1</v>
      </c>
      <c r="C45" s="57" t="s">
        <v>1072</v>
      </c>
      <c r="D45" s="80" t="s">
        <v>1073</v>
      </c>
      <c r="E45" s="85" t="s">
        <v>1074</v>
      </c>
      <c r="F45" s="5"/>
      <c r="G45" s="81">
        <f>'4.3. ANEXOS Residuos'!B81</f>
        <v>0.23898772795029105</v>
      </c>
      <c r="H45" s="5" t="s">
        <v>1060</v>
      </c>
      <c r="I45" s="5" t="s">
        <v>1075</v>
      </c>
      <c r="J45" s="81">
        <f>+'1.3. Factores de emisión'!E134</f>
        <v>6500</v>
      </c>
      <c r="K45" s="81">
        <f>+'1.3. Factores de emisión'!F133</f>
        <v>2.6849587570131991E-2</v>
      </c>
      <c r="L45" s="81">
        <f>+'1.3. Factores de emisión'!G134</f>
        <v>150</v>
      </c>
      <c r="M45" s="5"/>
      <c r="N45" s="82">
        <f>G45*J45*21/1000</f>
        <v>32.621824865214734</v>
      </c>
      <c r="O45" s="112">
        <f>+G45*'1.3. Factores de emisión'!$F$133*1000</f>
        <v>6.4167219297882205</v>
      </c>
      <c r="P45" s="112">
        <f>G45*310*L45/1000</f>
        <v>11.112929349688534</v>
      </c>
      <c r="Q45" s="82">
        <f>SUM(N45:P45)</f>
        <v>50.151476144691493</v>
      </c>
      <c r="R45" s="5"/>
      <c r="S45" s="84" t="s">
        <v>915</v>
      </c>
      <c r="T45" s="84" t="s">
        <v>1076</v>
      </c>
      <c r="U45" s="84" t="s">
        <v>1077</v>
      </c>
      <c r="V45" s="84" t="s">
        <v>1078</v>
      </c>
    </row>
    <row r="46" spans="2:22" ht="19.5" thickBot="1">
      <c r="C46" s="64"/>
      <c r="M46" s="69" t="s">
        <v>810</v>
      </c>
      <c r="N46" s="82">
        <f>+SUM(N45:N45)</f>
        <v>32.621824865214734</v>
      </c>
      <c r="O46" s="82">
        <f>+SUM(O45:O45)</f>
        <v>6.4167219297882205</v>
      </c>
      <c r="P46" s="82">
        <f>SUM(P45:P45)</f>
        <v>11.112929349688534</v>
      </c>
      <c r="Q46" s="95">
        <f>SUM(Q45:Q45)</f>
        <v>50.151476144691493</v>
      </c>
      <c r="R46" s="5"/>
    </row>
    <row r="47" spans="2:22">
      <c r="B47" s="60" t="s">
        <v>811</v>
      </c>
    </row>
    <row r="48" spans="2:22" ht="16.5" thickBot="1"/>
    <row r="49" spans="2:22" ht="16.5" thickBot="1">
      <c r="B49" s="337" t="s">
        <v>764</v>
      </c>
      <c r="C49" s="338"/>
      <c r="D49" s="338"/>
      <c r="E49" s="339"/>
      <c r="F49" s="333" t="s">
        <v>765</v>
      </c>
      <c r="G49" s="308" t="s">
        <v>766</v>
      </c>
      <c r="H49" s="310"/>
      <c r="I49" s="308" t="s">
        <v>767</v>
      </c>
      <c r="J49" s="309"/>
      <c r="K49" s="309"/>
      <c r="L49" s="309"/>
      <c r="M49" s="310"/>
      <c r="N49" s="308" t="s">
        <v>768</v>
      </c>
      <c r="O49" s="309"/>
      <c r="P49" s="309"/>
      <c r="Q49" s="309"/>
      <c r="R49" s="310"/>
      <c r="S49" s="333" t="s">
        <v>769</v>
      </c>
      <c r="T49" s="333" t="s">
        <v>770</v>
      </c>
      <c r="U49" s="335" t="s">
        <v>771</v>
      </c>
      <c r="V49" s="266" t="s">
        <v>772</v>
      </c>
    </row>
    <row r="50" spans="2:22" ht="16.5" thickBot="1">
      <c r="B50" s="51" t="s">
        <v>773</v>
      </c>
      <c r="C50" s="51" t="s">
        <v>774</v>
      </c>
      <c r="D50" s="51" t="s">
        <v>775</v>
      </c>
      <c r="E50" s="51" t="s">
        <v>24</v>
      </c>
      <c r="F50" s="334"/>
      <c r="G50" s="51" t="s">
        <v>776</v>
      </c>
      <c r="H50" s="51" t="s">
        <v>256</v>
      </c>
      <c r="I50" s="51" t="s">
        <v>777</v>
      </c>
      <c r="J50" s="51" t="s">
        <v>259</v>
      </c>
      <c r="K50" s="51" t="s">
        <v>778</v>
      </c>
      <c r="L50" s="51" t="s">
        <v>261</v>
      </c>
      <c r="M50" s="51" t="s">
        <v>779</v>
      </c>
      <c r="N50" s="51" t="s">
        <v>259</v>
      </c>
      <c r="O50" s="51" t="s">
        <v>778</v>
      </c>
      <c r="P50" s="51" t="s">
        <v>261</v>
      </c>
      <c r="Q50" s="51" t="s">
        <v>780</v>
      </c>
      <c r="R50" s="51" t="s">
        <v>779</v>
      </c>
      <c r="S50" s="334"/>
      <c r="T50" s="334"/>
      <c r="U50" s="336"/>
      <c r="V50" s="266"/>
    </row>
    <row r="51" spans="2:22" ht="83.25" customHeight="1" thickBot="1">
      <c r="B51" s="59">
        <v>3</v>
      </c>
      <c r="C51" s="57" t="s">
        <v>1072</v>
      </c>
      <c r="D51" s="80" t="s">
        <v>1079</v>
      </c>
      <c r="E51" s="85" t="s">
        <v>1080</v>
      </c>
      <c r="F51" s="5"/>
      <c r="G51" s="81">
        <f>'4.3. ANEXOS Residuos'!D137</f>
        <v>2.7090395714285713</v>
      </c>
      <c r="H51" s="5" t="s">
        <v>1060</v>
      </c>
      <c r="I51" s="5" t="s">
        <v>1075</v>
      </c>
      <c r="J51" s="81">
        <f>J45</f>
        <v>6500</v>
      </c>
      <c r="K51" s="81">
        <f>K45</f>
        <v>2.6849587570131991E-2</v>
      </c>
      <c r="L51" s="81">
        <f>L45</f>
        <v>150</v>
      </c>
      <c r="M51" s="5"/>
      <c r="N51" s="82">
        <f>G51*J51*21/1000</f>
        <v>369.78390149999996</v>
      </c>
      <c r="O51" s="112">
        <f>+G51*'1.3. Factores de emisión'!$F$133*1000</f>
        <v>72.736595204024269</v>
      </c>
      <c r="P51" s="112">
        <f>G51*310*L51/1000</f>
        <v>125.97034007142857</v>
      </c>
      <c r="Q51" s="82">
        <f>SUM(N51:P51)</f>
        <v>568.49083677545286</v>
      </c>
      <c r="R51" s="5"/>
      <c r="S51" s="84" t="s">
        <v>793</v>
      </c>
      <c r="T51" s="84" t="s">
        <v>1081</v>
      </c>
      <c r="U51" s="84" t="s">
        <v>946</v>
      </c>
      <c r="V51" s="84" t="s">
        <v>796</v>
      </c>
    </row>
    <row r="52" spans="2:22" ht="19.5" thickBot="1">
      <c r="C52" s="64"/>
      <c r="M52" s="69" t="s">
        <v>810</v>
      </c>
      <c r="N52" s="82">
        <f>N51</f>
        <v>369.78390149999996</v>
      </c>
      <c r="O52" s="82">
        <f>O51</f>
        <v>72.736595204024269</v>
      </c>
      <c r="P52" s="82">
        <f>P51</f>
        <v>125.97034007142857</v>
      </c>
      <c r="Q52" s="95">
        <f>SUM(Q51)</f>
        <v>568.49083677545286</v>
      </c>
      <c r="R52" s="5"/>
    </row>
    <row r="53" spans="2:22">
      <c r="B53" s="60" t="s">
        <v>811</v>
      </c>
    </row>
    <row r="56" spans="2:22">
      <c r="B56" s="50" t="s">
        <v>1082</v>
      </c>
      <c r="C56" s="50"/>
    </row>
    <row r="57" spans="2:22" ht="16.5" thickBot="1"/>
    <row r="58" spans="2:22" ht="16.5" thickBot="1">
      <c r="B58" s="266" t="s">
        <v>764</v>
      </c>
      <c r="C58" s="266"/>
      <c r="D58" s="266"/>
      <c r="E58" s="266"/>
      <c r="F58" s="340" t="s">
        <v>765</v>
      </c>
      <c r="G58" s="266" t="s">
        <v>766</v>
      </c>
      <c r="H58" s="266"/>
      <c r="I58" s="308" t="s">
        <v>767</v>
      </c>
      <c r="J58" s="309"/>
      <c r="K58" s="309"/>
      <c r="L58" s="309"/>
      <c r="M58" s="310"/>
      <c r="N58" s="308" t="s">
        <v>768</v>
      </c>
      <c r="O58" s="309"/>
      <c r="P58" s="309"/>
      <c r="Q58" s="309"/>
      <c r="R58" s="310"/>
      <c r="S58" s="340" t="s">
        <v>769</v>
      </c>
      <c r="T58" s="340" t="s">
        <v>770</v>
      </c>
      <c r="U58" s="266" t="s">
        <v>771</v>
      </c>
      <c r="V58" s="266" t="s">
        <v>772</v>
      </c>
    </row>
    <row r="59" spans="2:22" ht="16.5" thickBot="1">
      <c r="B59" s="51" t="s">
        <v>773</v>
      </c>
      <c r="C59" s="51" t="s">
        <v>774</v>
      </c>
      <c r="D59" s="51" t="s">
        <v>775</v>
      </c>
      <c r="E59" s="51" t="s">
        <v>24</v>
      </c>
      <c r="F59" s="340"/>
      <c r="G59" s="51" t="s">
        <v>776</v>
      </c>
      <c r="H59" s="51" t="s">
        <v>256</v>
      </c>
      <c r="I59" s="51" t="s">
        <v>777</v>
      </c>
      <c r="J59" s="51" t="s">
        <v>259</v>
      </c>
      <c r="K59" s="51" t="s">
        <v>778</v>
      </c>
      <c r="L59" s="51" t="s">
        <v>261</v>
      </c>
      <c r="M59" s="51" t="s">
        <v>779</v>
      </c>
      <c r="N59" s="51" t="s">
        <v>259</v>
      </c>
      <c r="O59" s="51" t="s">
        <v>778</v>
      </c>
      <c r="P59" s="51" t="s">
        <v>261</v>
      </c>
      <c r="Q59" s="51" t="s">
        <v>780</v>
      </c>
      <c r="R59" s="51" t="s">
        <v>779</v>
      </c>
      <c r="S59" s="340"/>
      <c r="T59" s="340"/>
      <c r="U59" s="266"/>
      <c r="V59" s="266"/>
    </row>
    <row r="60" spans="2:22" ht="63.75" thickBot="1">
      <c r="B60" s="58">
        <v>1</v>
      </c>
      <c r="C60" s="57" t="s">
        <v>1083</v>
      </c>
      <c r="D60" s="80" t="s">
        <v>1084</v>
      </c>
      <c r="E60" s="80" t="s">
        <v>1085</v>
      </c>
      <c r="F60" s="5"/>
      <c r="G60" s="81">
        <f>+'4.3. ANEXOS Residuos'!D255</f>
        <v>24871.31</v>
      </c>
      <c r="H60" s="57" t="s">
        <v>1086</v>
      </c>
      <c r="I60" s="5" t="str">
        <f>'[1]1.3. Factores de emisión'!D12</f>
        <v>kg CH4/persona/año</v>
      </c>
      <c r="J60" s="5">
        <f>+'1.3. Factores de emisión'!E12</f>
        <v>4.38</v>
      </c>
      <c r="K60" s="5"/>
      <c r="L60" s="5"/>
      <c r="M60" s="5"/>
      <c r="N60" s="82">
        <f>J60*G60*'1.3. Factores de emisión'!$E$162/1000</f>
        <v>2287.6630938000003</v>
      </c>
      <c r="O60" s="5"/>
      <c r="P60" s="5"/>
      <c r="Q60" s="81">
        <f>SUM(N60:P60)</f>
        <v>2287.6630938000003</v>
      </c>
      <c r="R60" s="5"/>
      <c r="S60" s="84" t="s">
        <v>793</v>
      </c>
      <c r="T60" s="84" t="s">
        <v>1087</v>
      </c>
      <c r="U60" s="84" t="s">
        <v>210</v>
      </c>
      <c r="V60" s="84" t="s">
        <v>1088</v>
      </c>
    </row>
    <row r="61" spans="2:22" ht="63.75" thickBot="1">
      <c r="B61" s="58">
        <v>1</v>
      </c>
      <c r="C61" s="57" t="s">
        <v>1083</v>
      </c>
      <c r="D61" s="80" t="s">
        <v>1089</v>
      </c>
      <c r="E61" s="80" t="s">
        <v>1090</v>
      </c>
      <c r="F61" s="5"/>
      <c r="G61" s="138">
        <f>+'4.3. ANEXOS Residuos'!Q209</f>
        <v>19082.949601851844</v>
      </c>
      <c r="H61" s="5" t="s">
        <v>1091</v>
      </c>
      <c r="I61" s="5" t="s">
        <v>422</v>
      </c>
      <c r="J61" s="5">
        <f>+'1.3. Factores de emisión'!E14</f>
        <v>0.2</v>
      </c>
      <c r="K61" s="5"/>
      <c r="L61" s="5"/>
      <c r="M61" s="5"/>
      <c r="N61" s="82">
        <f>J61*G61*'1.3. Factores de emisión'!$E$162/1000</f>
        <v>80.148388327777752</v>
      </c>
      <c r="O61" s="5"/>
      <c r="P61" s="5"/>
      <c r="Q61" s="81">
        <f>SUM(N61:P61)</f>
        <v>80.148388327777752</v>
      </c>
      <c r="R61" s="5"/>
      <c r="S61" s="84" t="s">
        <v>793</v>
      </c>
      <c r="T61" s="84" t="s">
        <v>1087</v>
      </c>
      <c r="U61" s="84" t="s">
        <v>210</v>
      </c>
      <c r="V61" s="84" t="s">
        <v>1088</v>
      </c>
    </row>
    <row r="62" spans="2:22" ht="63.75" thickBot="1">
      <c r="B62" s="58">
        <v>1</v>
      </c>
      <c r="C62" s="57" t="s">
        <v>1083</v>
      </c>
      <c r="D62" s="80" t="s">
        <v>1092</v>
      </c>
      <c r="E62" s="80" t="s">
        <v>1092</v>
      </c>
      <c r="F62" s="5"/>
      <c r="G62" s="138">
        <f>+'4.3. ANEXOS Residuos'!N209</f>
        <v>109621.12646666667</v>
      </c>
      <c r="H62" s="5" t="s">
        <v>1091</v>
      </c>
      <c r="I62" s="5" t="s">
        <v>422</v>
      </c>
      <c r="J62" s="83">
        <f>+'1.3. Factores de emisión'!E17</f>
        <v>2.8000000000000001E-2</v>
      </c>
      <c r="K62" s="5"/>
      <c r="L62" s="5"/>
      <c r="M62" s="5"/>
      <c r="N62" s="82">
        <f>J62*G62*'1.3. Factores de emisión'!$E$162/1000</f>
        <v>64.457222362400003</v>
      </c>
      <c r="O62" s="5"/>
      <c r="P62" s="5"/>
      <c r="Q62" s="81">
        <f t="shared" ref="Q62:Q64" si="2">SUM(N62:P62)</f>
        <v>64.457222362400003</v>
      </c>
      <c r="R62" s="5"/>
      <c r="S62" s="84" t="s">
        <v>793</v>
      </c>
      <c r="T62" s="84" t="s">
        <v>1087</v>
      </c>
      <c r="U62" s="84" t="s">
        <v>210</v>
      </c>
      <c r="V62" s="84" t="s">
        <v>1088</v>
      </c>
    </row>
    <row r="63" spans="2:22" ht="63.75" thickBot="1">
      <c r="B63" s="58">
        <v>1</v>
      </c>
      <c r="C63" s="57" t="s">
        <v>1083</v>
      </c>
      <c r="D63" s="80" t="s">
        <v>1093</v>
      </c>
      <c r="E63" s="80" t="s">
        <v>1094</v>
      </c>
      <c r="F63" s="5"/>
      <c r="G63" s="138">
        <f>+'4.3. ANEXOS Residuos'!Q224</f>
        <v>914.30440254901964</v>
      </c>
      <c r="H63" s="5" t="s">
        <v>1091</v>
      </c>
      <c r="I63" s="5" t="s">
        <v>422</v>
      </c>
      <c r="J63" s="83">
        <f>+'1.3. Factores de emisión'!E137</f>
        <v>0</v>
      </c>
      <c r="K63" s="5"/>
      <c r="L63" s="5"/>
      <c r="M63" s="5"/>
      <c r="N63" s="82">
        <f>J63*G63*'1.3. Factores de emisión'!$E$162/1000</f>
        <v>0</v>
      </c>
      <c r="O63" s="5"/>
      <c r="P63" s="5"/>
      <c r="Q63" s="81">
        <f t="shared" si="2"/>
        <v>0</v>
      </c>
      <c r="R63" s="5"/>
      <c r="S63" s="84" t="s">
        <v>793</v>
      </c>
      <c r="T63" s="84" t="s">
        <v>1087</v>
      </c>
      <c r="U63" s="84" t="s">
        <v>210</v>
      </c>
      <c r="V63" s="84" t="s">
        <v>1088</v>
      </c>
    </row>
    <row r="64" spans="2:22" ht="63.75" thickBot="1">
      <c r="B64" s="58">
        <v>1</v>
      </c>
      <c r="C64" s="57" t="s">
        <v>1083</v>
      </c>
      <c r="D64" s="80" t="s">
        <v>1095</v>
      </c>
      <c r="E64" s="80" t="s">
        <v>1095</v>
      </c>
      <c r="F64" s="5"/>
      <c r="G64" s="138">
        <f>+'4.3. ANEXOS Residuos'!N224</f>
        <v>1949.35842</v>
      </c>
      <c r="H64" s="5" t="s">
        <v>1091</v>
      </c>
      <c r="I64" s="5" t="s">
        <v>422</v>
      </c>
      <c r="J64" s="83">
        <f>+'1.3. Factores de emisión'!E17</f>
        <v>2.8000000000000001E-2</v>
      </c>
      <c r="K64" s="5"/>
      <c r="L64" s="5"/>
      <c r="M64" s="5"/>
      <c r="N64" s="82">
        <f>J64*G64*'1.3. Factores de emisión'!$E$162/1000</f>
        <v>1.14622275096</v>
      </c>
      <c r="O64" s="5"/>
      <c r="P64" s="5"/>
      <c r="Q64" s="81">
        <f t="shared" si="2"/>
        <v>1.14622275096</v>
      </c>
      <c r="R64" s="5"/>
      <c r="S64" s="84" t="s">
        <v>793</v>
      </c>
      <c r="T64" s="84" t="s">
        <v>1087</v>
      </c>
      <c r="U64" s="84" t="s">
        <v>210</v>
      </c>
      <c r="V64" s="84" t="s">
        <v>1088</v>
      </c>
    </row>
    <row r="65" spans="2:22" ht="63.75" thickBot="1">
      <c r="B65" s="58">
        <v>1</v>
      </c>
      <c r="C65" s="57" t="s">
        <v>1083</v>
      </c>
      <c r="D65" s="80" t="s">
        <v>1093</v>
      </c>
      <c r="E65" s="80" t="s">
        <v>1096</v>
      </c>
      <c r="F65" s="5"/>
      <c r="G65" s="138">
        <f>+'4.3. ANEXOS Residuos'!Q248</f>
        <v>2004.9780545669939</v>
      </c>
      <c r="H65" s="5" t="s">
        <v>1091</v>
      </c>
      <c r="I65" s="5" t="s">
        <v>422</v>
      </c>
      <c r="J65" s="83">
        <f>+'1.3. Factores de emisión'!E136</f>
        <v>7.4999999999999997E-3</v>
      </c>
      <c r="K65" s="5"/>
      <c r="L65" s="121"/>
      <c r="M65" s="5"/>
      <c r="N65" s="82">
        <f>J65*G65*'1.3. Factores de emisión'!$E$162/1000</f>
        <v>0.31578404359430151</v>
      </c>
      <c r="O65" s="5"/>
      <c r="P65" s="139"/>
      <c r="Q65" s="139">
        <f t="shared" ref="Q65:Q66" si="3">SUM(N65:P65)</f>
        <v>0.31578404359430151</v>
      </c>
      <c r="R65" s="5"/>
      <c r="S65" s="84" t="s">
        <v>793</v>
      </c>
      <c r="T65" s="84" t="s">
        <v>1087</v>
      </c>
      <c r="U65" s="84" t="s">
        <v>210</v>
      </c>
      <c r="V65" s="84" t="s">
        <v>1088</v>
      </c>
    </row>
    <row r="66" spans="2:22" ht="63.75" thickBot="1">
      <c r="B66" s="58">
        <v>1</v>
      </c>
      <c r="C66" s="57" t="s">
        <v>1083</v>
      </c>
      <c r="D66" s="80" t="s">
        <v>1095</v>
      </c>
      <c r="E66" s="80" t="s">
        <v>1095</v>
      </c>
      <c r="F66" s="5"/>
      <c r="G66" s="138">
        <f>+'4.3. ANEXOS Residuos'!N248</f>
        <v>11057.392946250004</v>
      </c>
      <c r="H66" s="5" t="s">
        <v>1091</v>
      </c>
      <c r="I66" s="5" t="s">
        <v>422</v>
      </c>
      <c r="J66" s="83">
        <f>+'1.3. Factores de emisión'!E17</f>
        <v>2.8000000000000001E-2</v>
      </c>
      <c r="K66" s="5"/>
      <c r="L66" s="121"/>
      <c r="M66" s="5"/>
      <c r="N66" s="82">
        <f>J66*G66*'1.3. Factores de emisión'!$E$162/1000</f>
        <v>6.5017470523950021</v>
      </c>
      <c r="O66" s="5"/>
      <c r="P66" s="5"/>
      <c r="Q66" s="81">
        <f t="shared" si="3"/>
        <v>6.5017470523950021</v>
      </c>
      <c r="R66" s="5"/>
      <c r="S66" s="84" t="s">
        <v>793</v>
      </c>
      <c r="T66" s="84" t="s">
        <v>1087</v>
      </c>
      <c r="U66" s="84" t="s">
        <v>210</v>
      </c>
      <c r="V66" s="84" t="s">
        <v>1088</v>
      </c>
    </row>
    <row r="67" spans="2:22" ht="74.25" customHeight="1" thickBot="1">
      <c r="B67" s="58">
        <v>1</v>
      </c>
      <c r="C67" s="57" t="s">
        <v>1083</v>
      </c>
      <c r="D67" s="80" t="s">
        <v>1097</v>
      </c>
      <c r="E67" s="80" t="s">
        <v>1098</v>
      </c>
      <c r="F67" s="5"/>
      <c r="G67" s="138">
        <f>'4.3. ANEXOS Residuos'!D258</f>
        <v>305.69</v>
      </c>
      <c r="H67" s="5" t="s">
        <v>1086</v>
      </c>
      <c r="I67" s="5" t="s">
        <v>271</v>
      </c>
      <c r="J67" s="5">
        <f>'1.3. Factores de emisión'!E13</f>
        <v>0.96399999999999997</v>
      </c>
      <c r="K67" s="5"/>
      <c r="L67" s="5"/>
      <c r="M67" s="5"/>
      <c r="N67" s="82">
        <f>J67*G67*'[1]1.3. Factores de emisión'!$E$185/1000</f>
        <v>6.1883883600000003</v>
      </c>
      <c r="O67" s="5"/>
      <c r="P67" s="5"/>
      <c r="Q67" s="81">
        <f>SUM(N67:P67)</f>
        <v>6.1883883600000003</v>
      </c>
      <c r="R67" s="5"/>
      <c r="S67" s="84" t="s">
        <v>793</v>
      </c>
      <c r="T67" s="84" t="s">
        <v>1099</v>
      </c>
      <c r="U67" s="84" t="s">
        <v>795</v>
      </c>
      <c r="V67" s="84" t="s">
        <v>796</v>
      </c>
    </row>
    <row r="68" spans="2:22" ht="19.5" thickBot="1">
      <c r="C68" s="64"/>
      <c r="M68" s="69" t="s">
        <v>810</v>
      </c>
      <c r="N68" s="82">
        <f>SUM(N60:N67)</f>
        <v>2446.4208466971272</v>
      </c>
      <c r="O68" s="82">
        <f>SUM(O60:O66)</f>
        <v>0</v>
      </c>
      <c r="P68" s="82">
        <f>SUM(P60:P66)</f>
        <v>0</v>
      </c>
      <c r="Q68" s="95">
        <f>SUM(Q60:Q67)</f>
        <v>2446.4208466971272</v>
      </c>
      <c r="R68" s="5"/>
    </row>
    <row r="69" spans="2:22">
      <c r="B69" s="60" t="s">
        <v>811</v>
      </c>
    </row>
    <row r="70" spans="2:22" ht="16.5" thickBot="1"/>
    <row r="71" spans="2:22" ht="16.5" thickBot="1">
      <c r="B71" s="337" t="s">
        <v>764</v>
      </c>
      <c r="C71" s="338"/>
      <c r="D71" s="338"/>
      <c r="E71" s="339"/>
      <c r="F71" s="333" t="s">
        <v>765</v>
      </c>
      <c r="G71" s="308" t="s">
        <v>766</v>
      </c>
      <c r="H71" s="310"/>
      <c r="I71" s="308" t="s">
        <v>767</v>
      </c>
      <c r="J71" s="309"/>
      <c r="K71" s="309"/>
      <c r="L71" s="309"/>
      <c r="M71" s="310"/>
      <c r="N71" s="308" t="s">
        <v>768</v>
      </c>
      <c r="O71" s="309"/>
      <c r="P71" s="309"/>
      <c r="Q71" s="309"/>
      <c r="R71" s="310"/>
      <c r="S71" s="333" t="s">
        <v>769</v>
      </c>
      <c r="T71" s="333" t="s">
        <v>770</v>
      </c>
      <c r="U71" s="335" t="s">
        <v>771</v>
      </c>
      <c r="V71" s="266" t="s">
        <v>772</v>
      </c>
    </row>
    <row r="72" spans="2:22" ht="16.5" thickBot="1">
      <c r="B72" s="51" t="s">
        <v>773</v>
      </c>
      <c r="C72" s="51" t="s">
        <v>774</v>
      </c>
      <c r="D72" s="51" t="s">
        <v>775</v>
      </c>
      <c r="E72" s="51" t="s">
        <v>24</v>
      </c>
      <c r="F72" s="334"/>
      <c r="G72" s="51" t="s">
        <v>776</v>
      </c>
      <c r="H72" s="51" t="s">
        <v>256</v>
      </c>
      <c r="I72" s="51" t="s">
        <v>777</v>
      </c>
      <c r="J72" s="51" t="s">
        <v>259</v>
      </c>
      <c r="K72" s="51" t="s">
        <v>778</v>
      </c>
      <c r="L72" s="51" t="s">
        <v>261</v>
      </c>
      <c r="M72" s="51" t="s">
        <v>779</v>
      </c>
      <c r="N72" s="51" t="s">
        <v>259</v>
      </c>
      <c r="O72" s="51" t="s">
        <v>778</v>
      </c>
      <c r="P72" s="51" t="s">
        <v>261</v>
      </c>
      <c r="Q72" s="51" t="s">
        <v>780</v>
      </c>
      <c r="R72" s="51" t="s">
        <v>779</v>
      </c>
      <c r="S72" s="334"/>
      <c r="T72" s="334"/>
      <c r="U72" s="336"/>
      <c r="V72" s="266"/>
    </row>
    <row r="73" spans="2:22" ht="142.5" thickBot="1">
      <c r="B73" s="58">
        <v>3</v>
      </c>
      <c r="C73" s="57" t="s">
        <v>1100</v>
      </c>
      <c r="D73" s="5"/>
      <c r="E73" s="5"/>
      <c r="F73" s="84" t="s">
        <v>869</v>
      </c>
      <c r="G73" s="5"/>
      <c r="H73" s="5"/>
      <c r="I73" s="5"/>
      <c r="J73" s="5"/>
      <c r="K73" s="5"/>
      <c r="L73" s="5"/>
      <c r="M73" s="5"/>
      <c r="N73" s="5"/>
      <c r="O73" s="5"/>
      <c r="P73" s="5"/>
      <c r="Q73" s="5"/>
      <c r="R73" s="5"/>
      <c r="S73" s="5"/>
      <c r="T73" s="84" t="s">
        <v>1101</v>
      </c>
      <c r="U73" s="5"/>
      <c r="V73" s="205" t="s">
        <v>994</v>
      </c>
    </row>
    <row r="74" spans="2:22" ht="19.5" thickBot="1">
      <c r="C74" s="64"/>
      <c r="M74" s="69" t="s">
        <v>810</v>
      </c>
      <c r="N74" s="82">
        <f>N73</f>
        <v>0</v>
      </c>
      <c r="O74" s="82">
        <f>O73</f>
        <v>0</v>
      </c>
      <c r="P74" s="82">
        <f>P73</f>
        <v>0</v>
      </c>
      <c r="Q74" s="95">
        <f>SUM(Q73)</f>
        <v>0</v>
      </c>
      <c r="R74" s="5"/>
    </row>
    <row r="75" spans="2:22">
      <c r="B75" s="60" t="s">
        <v>811</v>
      </c>
    </row>
    <row r="77" spans="2:22" ht="16.5" thickBot="1">
      <c r="B77" s="61" t="s">
        <v>888</v>
      </c>
    </row>
    <row r="78" spans="2:22" ht="16.5" thickBot="1">
      <c r="B78" s="58"/>
      <c r="C78" s="5" t="s">
        <v>889</v>
      </c>
    </row>
    <row r="79" spans="2:22" ht="16.5" thickBot="1">
      <c r="B79" s="59"/>
      <c r="C79" s="5" t="s">
        <v>890</v>
      </c>
    </row>
    <row r="80" spans="2:22" ht="16.5" thickBot="1"/>
    <row r="81" spans="6:18" ht="16.5" thickBot="1">
      <c r="F81" s="308" t="s">
        <v>1102</v>
      </c>
      <c r="G81" s="309"/>
      <c r="H81" s="309"/>
      <c r="I81" s="309"/>
      <c r="J81" s="309"/>
      <c r="K81" s="309"/>
      <c r="L81" s="309"/>
      <c r="M81" s="309"/>
      <c r="N81" s="309"/>
      <c r="O81" s="309"/>
      <c r="P81" s="309"/>
      <c r="Q81" s="309"/>
      <c r="R81" s="310"/>
    </row>
    <row r="82" spans="6:18" ht="16.5" thickBot="1">
      <c r="F82" s="343" t="s">
        <v>892</v>
      </c>
      <c r="G82" s="343"/>
      <c r="H82" s="86" t="s">
        <v>893</v>
      </c>
      <c r="I82" s="86" t="s">
        <v>259</v>
      </c>
      <c r="J82" s="86" t="s">
        <v>778</v>
      </c>
      <c r="K82" s="86" t="s">
        <v>261</v>
      </c>
      <c r="L82" s="86" t="s">
        <v>894</v>
      </c>
      <c r="M82" s="86" t="s">
        <v>895</v>
      </c>
      <c r="N82" s="86" t="s">
        <v>896</v>
      </c>
      <c r="O82" s="86" t="s">
        <v>897</v>
      </c>
      <c r="P82" s="86" t="s">
        <v>898</v>
      </c>
      <c r="Q82" s="86" t="s">
        <v>899</v>
      </c>
      <c r="R82" s="86" t="s">
        <v>900</v>
      </c>
    </row>
    <row r="83" spans="6:18" ht="16.5" thickBot="1">
      <c r="F83" s="343" t="s">
        <v>901</v>
      </c>
      <c r="G83" s="343"/>
      <c r="H83" s="87">
        <f>SUM(I83:R83)</f>
        <v>2729.1246976886782</v>
      </c>
      <c r="I83" s="88">
        <f>N11+N31+N46+N68</f>
        <v>2623.8223265018801</v>
      </c>
      <c r="J83" s="88">
        <f>O11+O31+O46+O68</f>
        <v>6.4167219297882205</v>
      </c>
      <c r="K83" s="88">
        <f>P11+P31+P46+P68</f>
        <v>98.885649257009888</v>
      </c>
      <c r="L83" s="88"/>
      <c r="M83" s="88"/>
      <c r="N83" s="88"/>
      <c r="O83" s="88"/>
      <c r="P83" s="88"/>
      <c r="Q83" s="88"/>
      <c r="R83" s="88"/>
    </row>
    <row r="84" spans="6:18" ht="16.5" thickBot="1">
      <c r="F84" s="343" t="s">
        <v>902</v>
      </c>
      <c r="G84" s="343"/>
      <c r="H84" s="87">
        <f t="shared" ref="H84:H85" si="4">SUM(I84:R84)</f>
        <v>0</v>
      </c>
      <c r="I84" s="88">
        <v>0</v>
      </c>
      <c r="J84" s="88">
        <v>0</v>
      </c>
      <c r="K84" s="88">
        <v>0</v>
      </c>
      <c r="L84" s="88"/>
      <c r="M84" s="88"/>
      <c r="N84" s="88"/>
      <c r="O84" s="88"/>
      <c r="P84" s="88"/>
      <c r="Q84" s="88"/>
      <c r="R84" s="88"/>
    </row>
    <row r="85" spans="6:18" ht="16.5" thickBot="1">
      <c r="F85" s="343" t="s">
        <v>903</v>
      </c>
      <c r="G85" s="343"/>
      <c r="H85" s="87">
        <f t="shared" si="4"/>
        <v>9701.8637357754524</v>
      </c>
      <c r="I85" s="88">
        <f>N17+N37+N52+N74</f>
        <v>9503.1568005000008</v>
      </c>
      <c r="J85" s="88">
        <f>O17+O37+O52+O74</f>
        <v>72.736595204024269</v>
      </c>
      <c r="K85" s="88">
        <f>P17+P37+P52+P74</f>
        <v>125.97034007142857</v>
      </c>
      <c r="L85" s="88"/>
      <c r="M85" s="88"/>
      <c r="N85" s="88"/>
      <c r="O85" s="88"/>
      <c r="P85" s="88"/>
      <c r="Q85" s="88"/>
      <c r="R85" s="88"/>
    </row>
    <row r="86" spans="6:18" ht="16.5" thickBot="1">
      <c r="F86" s="345" t="s">
        <v>904</v>
      </c>
      <c r="G86" s="345"/>
      <c r="H86" s="345"/>
      <c r="I86" s="346"/>
      <c r="J86" s="346"/>
      <c r="K86" s="346"/>
      <c r="L86" s="346"/>
      <c r="M86" s="346"/>
      <c r="N86" s="346"/>
      <c r="O86" s="346"/>
      <c r="P86" s="346"/>
      <c r="Q86" s="346"/>
      <c r="R86" s="346"/>
    </row>
    <row r="87" spans="6:18" ht="16.5" thickBot="1">
      <c r="F87" s="345"/>
      <c r="G87" s="345"/>
      <c r="H87" s="345"/>
      <c r="I87" s="346"/>
      <c r="J87" s="346"/>
      <c r="K87" s="346"/>
      <c r="L87" s="346"/>
      <c r="M87" s="346"/>
      <c r="N87" s="346"/>
      <c r="O87" s="346"/>
      <c r="P87" s="346"/>
      <c r="Q87" s="346"/>
      <c r="R87" s="346"/>
    </row>
    <row r="88" spans="6:18" ht="16.5" thickBot="1">
      <c r="F88" s="345" t="s">
        <v>905</v>
      </c>
      <c r="G88" s="345"/>
      <c r="H88" s="345"/>
      <c r="I88" s="347" t="s">
        <v>893</v>
      </c>
      <c r="J88" s="331">
        <f>L88+L89</f>
        <v>0</v>
      </c>
      <c r="K88" s="86" t="s">
        <v>906</v>
      </c>
      <c r="L88" s="88">
        <f>R11+R31+R46+R68</f>
        <v>0</v>
      </c>
      <c r="M88" s="346"/>
      <c r="N88" s="346"/>
      <c r="O88" s="346"/>
      <c r="P88" s="346"/>
      <c r="Q88" s="346"/>
      <c r="R88" s="346"/>
    </row>
    <row r="89" spans="6:18" ht="16.5" thickBot="1">
      <c r="F89" s="345"/>
      <c r="G89" s="345"/>
      <c r="H89" s="345"/>
      <c r="I89" s="347"/>
      <c r="J89" s="332"/>
      <c r="K89" s="86" t="s">
        <v>907</v>
      </c>
      <c r="L89" s="88">
        <f>R17+R37+R52+R74</f>
        <v>0</v>
      </c>
      <c r="M89" s="346"/>
      <c r="N89" s="346"/>
      <c r="O89" s="346"/>
      <c r="P89" s="346"/>
      <c r="Q89" s="346"/>
      <c r="R89" s="346"/>
    </row>
    <row r="90" spans="6:18" ht="16.5" thickBot="1">
      <c r="F90" s="90"/>
      <c r="G90" s="90"/>
      <c r="H90" s="90"/>
      <c r="I90" s="90"/>
      <c r="J90" s="90"/>
      <c r="K90" s="90"/>
      <c r="L90" s="90"/>
      <c r="M90" s="90"/>
      <c r="N90" s="90"/>
      <c r="O90" s="90"/>
      <c r="P90" s="90"/>
      <c r="Q90" s="90"/>
      <c r="R90" s="90"/>
    </row>
    <row r="91" spans="6:18" ht="16.5" thickBot="1">
      <c r="F91" s="344" t="s">
        <v>908</v>
      </c>
      <c r="G91" s="344"/>
      <c r="H91" s="91">
        <v>0</v>
      </c>
      <c r="I91"/>
      <c r="J91"/>
      <c r="K91" s="90"/>
      <c r="L91" s="90"/>
      <c r="M91" s="90"/>
      <c r="N91" s="90"/>
      <c r="O91" s="90"/>
      <c r="P91" s="90"/>
      <c r="Q91" s="90"/>
      <c r="R91" s="90"/>
    </row>
    <row r="92" spans="6:18" ht="16.5" thickBot="1">
      <c r="F92" s="344" t="s">
        <v>909</v>
      </c>
      <c r="G92" s="344"/>
      <c r="H92" s="91">
        <f>+SUM(H83:H85,H91)</f>
        <v>12430.98843346413</v>
      </c>
      <c r="I92" s="90"/>
      <c r="J92" s="90"/>
      <c r="K92" s="90"/>
      <c r="L92" s="90"/>
      <c r="M92" s="90"/>
      <c r="N92" s="90"/>
      <c r="O92" s="90"/>
      <c r="P92" s="90"/>
      <c r="Q92" s="90"/>
      <c r="R92" s="90"/>
    </row>
  </sheetData>
  <mergeCells count="88">
    <mergeCell ref="F91:G91"/>
    <mergeCell ref="F92:G92"/>
    <mergeCell ref="F86:H87"/>
    <mergeCell ref="I86:R87"/>
    <mergeCell ref="F88:H89"/>
    <mergeCell ref="I88:I89"/>
    <mergeCell ref="J88:J89"/>
    <mergeCell ref="M88:R89"/>
    <mergeCell ref="F81:R81"/>
    <mergeCell ref="F82:G82"/>
    <mergeCell ref="F83:G83"/>
    <mergeCell ref="F84:G84"/>
    <mergeCell ref="F85:G85"/>
    <mergeCell ref="I34:M34"/>
    <mergeCell ref="N34:R34"/>
    <mergeCell ref="I49:M49"/>
    <mergeCell ref="N49:R49"/>
    <mergeCell ref="I71:M71"/>
    <mergeCell ref="N71:R71"/>
    <mergeCell ref="I43:M43"/>
    <mergeCell ref="N43:R43"/>
    <mergeCell ref="B21:C21"/>
    <mergeCell ref="B41:D41"/>
    <mergeCell ref="V71:V72"/>
    <mergeCell ref="U58:U59"/>
    <mergeCell ref="V58:V59"/>
    <mergeCell ref="B71:E71"/>
    <mergeCell ref="F71:F72"/>
    <mergeCell ref="G71:H71"/>
    <mergeCell ref="S71:S72"/>
    <mergeCell ref="T71:T72"/>
    <mergeCell ref="U71:U72"/>
    <mergeCell ref="B58:E58"/>
    <mergeCell ref="F58:F59"/>
    <mergeCell ref="G58:H58"/>
    <mergeCell ref="I58:M58"/>
    <mergeCell ref="N58:R58"/>
    <mergeCell ref="S58:S59"/>
    <mergeCell ref="T58:T59"/>
    <mergeCell ref="T49:T50"/>
    <mergeCell ref="U49:U50"/>
    <mergeCell ref="V49:V50"/>
    <mergeCell ref="S43:S44"/>
    <mergeCell ref="T43:T44"/>
    <mergeCell ref="U43:U44"/>
    <mergeCell ref="V43:V44"/>
    <mergeCell ref="S49:S50"/>
    <mergeCell ref="B49:E49"/>
    <mergeCell ref="F49:F50"/>
    <mergeCell ref="G49:H49"/>
    <mergeCell ref="B43:E43"/>
    <mergeCell ref="F43:F44"/>
    <mergeCell ref="G43:H43"/>
    <mergeCell ref="V34:V35"/>
    <mergeCell ref="U23:U24"/>
    <mergeCell ref="V23:V24"/>
    <mergeCell ref="B34:E34"/>
    <mergeCell ref="F34:F35"/>
    <mergeCell ref="G34:H34"/>
    <mergeCell ref="S34:S35"/>
    <mergeCell ref="T34:T35"/>
    <mergeCell ref="U34:U35"/>
    <mergeCell ref="B23:E23"/>
    <mergeCell ref="F23:F24"/>
    <mergeCell ref="G23:H23"/>
    <mergeCell ref="I23:M23"/>
    <mergeCell ref="N23:R23"/>
    <mergeCell ref="S23:S24"/>
    <mergeCell ref="T23:T24"/>
    <mergeCell ref="T14:T15"/>
    <mergeCell ref="U14:U15"/>
    <mergeCell ref="V14:V15"/>
    <mergeCell ref="S14:S15"/>
    <mergeCell ref="B14:E14"/>
    <mergeCell ref="F14:F15"/>
    <mergeCell ref="G14:H14"/>
    <mergeCell ref="I14:M14"/>
    <mergeCell ref="N14:R14"/>
    <mergeCell ref="B5:D5"/>
    <mergeCell ref="S7:S8"/>
    <mergeCell ref="T7:T8"/>
    <mergeCell ref="U7:U8"/>
    <mergeCell ref="V7:V8"/>
    <mergeCell ref="B7:E7"/>
    <mergeCell ref="F7:F8"/>
    <mergeCell ref="G7:H7"/>
    <mergeCell ref="I7:M7"/>
    <mergeCell ref="N7:R7"/>
  </mergeCells>
  <hyperlinks>
    <hyperlink ref="C1" location="'Información general'!A1" display="Inicio" xr:uid="{00000000-0004-0000-0600-000000000000}"/>
    <hyperlink ref="V36" r:id="rId1" xr:uid="{737976BE-632F-4A93-80B8-C4D072FA5C80}"/>
    <hyperlink ref="V73" r:id="rId2" xr:uid="{C2DC22F5-79B8-44D8-A327-FB2E23A36419}"/>
  </hyperlinks>
  <pageMargins left="0.7" right="0.7" top="0.75" bottom="0.75" header="0.3" footer="0.3"/>
  <drawing r:id="rId3"/>
  <legacyDrawing r:id="rId4"/>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7" tint="0.59999389629810485"/>
  </sheetPr>
  <dimension ref="A1:BF116"/>
  <sheetViews>
    <sheetView showGridLines="0" topLeftCell="AG85" zoomScale="55" zoomScaleNormal="55" workbookViewId="0">
      <selection activeCell="BA88" sqref="BA88"/>
    </sheetView>
  </sheetViews>
  <sheetFormatPr defaultColWidth="11.42578125" defaultRowHeight="15.75"/>
  <cols>
    <col min="1" max="2" width="11.42578125" style="55"/>
    <col min="3" max="3" width="46.85546875" style="55" customWidth="1"/>
    <col min="4" max="4" width="45.28515625" style="55" customWidth="1"/>
    <col min="5" max="5" width="56.85546875" style="55" customWidth="1"/>
    <col min="6" max="6" width="11.42578125" style="55"/>
    <col min="7" max="7" width="15.140625" style="55" customWidth="1"/>
    <col min="8" max="8" width="18.85546875" style="55" bestFit="1" customWidth="1"/>
    <col min="9" max="9" width="26.7109375" style="55" bestFit="1" customWidth="1"/>
    <col min="10" max="11" width="11.42578125" style="55"/>
    <col min="12" max="12" width="13.5703125" style="55" bestFit="1" customWidth="1"/>
    <col min="13" max="13" width="16.42578125" style="55" customWidth="1"/>
    <col min="14" max="14" width="13.5703125" style="55" customWidth="1"/>
    <col min="15" max="15" width="15.42578125" style="55" customWidth="1"/>
    <col min="16" max="16" width="16.28515625" style="55" customWidth="1"/>
    <col min="17" max="17" width="17.85546875" style="55" customWidth="1"/>
    <col min="18" max="18" width="17.42578125" style="55" customWidth="1"/>
    <col min="19" max="19" width="18.7109375" style="55" customWidth="1"/>
    <col min="20" max="30" width="13.5703125" style="55" customWidth="1"/>
    <col min="31" max="34" width="11.42578125" style="55"/>
    <col min="35" max="35" width="17.7109375" style="55" customWidth="1"/>
    <col min="36" max="36" width="11.42578125" style="55"/>
    <col min="37" max="37" width="14" style="55" bestFit="1" customWidth="1"/>
    <col min="38" max="38" width="16.140625" style="55" customWidth="1"/>
    <col min="39" max="39" width="15" style="55" customWidth="1"/>
    <col min="40" max="40" width="17.42578125" style="55" bestFit="1" customWidth="1"/>
    <col min="41" max="41" width="14.42578125" style="55" customWidth="1"/>
    <col min="42" max="42" width="14.42578125" style="55" bestFit="1" customWidth="1"/>
    <col min="43" max="43" width="11.5703125" style="55" customWidth="1"/>
    <col min="44" max="48" width="11.42578125" style="55"/>
    <col min="49" max="49" width="14.85546875" style="55" customWidth="1"/>
    <col min="50" max="50" width="11.42578125" style="55"/>
    <col min="51" max="51" width="12.85546875" style="55" customWidth="1"/>
    <col min="52" max="52" width="11.42578125" style="55"/>
    <col min="53" max="53" width="16.85546875" style="55" bestFit="1" customWidth="1"/>
    <col min="54" max="54" width="11.42578125" style="55"/>
    <col min="55" max="55" width="25.28515625" style="55" customWidth="1"/>
    <col min="56" max="56" width="46" style="55" customWidth="1"/>
    <col min="57" max="57" width="40.28515625" style="55" customWidth="1"/>
    <col min="58" max="58" width="45.140625" style="55" customWidth="1"/>
    <col min="59" max="59" width="57.85546875" style="55" customWidth="1"/>
    <col min="60" max="16384" width="11.42578125" style="55"/>
  </cols>
  <sheetData>
    <row r="1" spans="1:58" ht="18.75">
      <c r="C1" s="66" t="s">
        <v>21</v>
      </c>
    </row>
    <row r="3" spans="1:58" ht="19.5" thickBot="1">
      <c r="B3" s="62" t="s">
        <v>1103</v>
      </c>
      <c r="C3" s="6"/>
      <c r="D3" s="6"/>
      <c r="E3" s="6"/>
      <c r="F3" s="6"/>
      <c r="G3" s="6"/>
      <c r="H3" s="6"/>
      <c r="I3" s="6"/>
      <c r="J3" s="6"/>
      <c r="K3" s="6"/>
      <c r="L3" s="6"/>
      <c r="M3" s="6"/>
      <c r="N3" s="6"/>
      <c r="O3" s="6"/>
      <c r="P3" s="6"/>
      <c r="Q3" s="6"/>
      <c r="R3" s="6"/>
      <c r="S3" s="6"/>
      <c r="T3" s="6"/>
      <c r="U3" s="6"/>
      <c r="V3" s="6"/>
      <c r="W3" s="6"/>
      <c r="X3" s="6"/>
      <c r="Y3" s="6"/>
      <c r="Z3" s="6"/>
      <c r="AA3" s="6"/>
      <c r="AB3" s="6"/>
      <c r="AC3" s="6"/>
      <c r="AD3" s="6"/>
      <c r="AE3" s="6"/>
      <c r="AF3" s="6"/>
      <c r="AG3" s="6"/>
      <c r="AH3" s="6"/>
      <c r="AI3" s="6"/>
      <c r="AJ3" s="6"/>
      <c r="AK3" s="6"/>
      <c r="AL3" s="6"/>
      <c r="AM3" s="6"/>
      <c r="AN3" s="6"/>
      <c r="AO3" s="6"/>
      <c r="AP3" s="6"/>
      <c r="AQ3" s="6"/>
      <c r="AR3" s="6"/>
      <c r="AS3" s="6"/>
      <c r="AT3" s="6"/>
      <c r="AU3" s="6"/>
      <c r="AV3" s="6"/>
      <c r="AW3" s="6"/>
      <c r="AX3" s="6"/>
      <c r="AY3" s="6"/>
      <c r="AZ3" s="6"/>
      <c r="BA3" s="6"/>
      <c r="BB3" s="6"/>
      <c r="BC3" s="6"/>
      <c r="BD3" s="6"/>
      <c r="BE3" s="6"/>
      <c r="BF3" s="6"/>
    </row>
    <row r="5" spans="1:58">
      <c r="B5" s="341" t="s">
        <v>1104</v>
      </c>
      <c r="C5" s="341"/>
    </row>
    <row r="6" spans="1:58" ht="16.5" thickBot="1"/>
    <row r="7" spans="1:58" ht="16.5" thickBot="1">
      <c r="B7" s="266" t="s">
        <v>764</v>
      </c>
      <c r="C7" s="266"/>
      <c r="D7" s="266"/>
      <c r="E7" s="266"/>
      <c r="F7" s="340" t="s">
        <v>765</v>
      </c>
      <c r="G7" s="266" t="s">
        <v>766</v>
      </c>
      <c r="H7" s="266"/>
      <c r="I7" s="308" t="s">
        <v>767</v>
      </c>
      <c r="J7" s="309"/>
      <c r="K7" s="309"/>
      <c r="L7" s="309"/>
      <c r="M7" s="309"/>
      <c r="N7" s="309"/>
      <c r="O7" s="309"/>
      <c r="P7" s="309"/>
      <c r="Q7" s="309"/>
      <c r="R7" s="309"/>
      <c r="S7" s="309"/>
      <c r="T7" s="309"/>
      <c r="U7" s="309"/>
      <c r="V7" s="309"/>
      <c r="W7" s="309"/>
      <c r="X7" s="309"/>
      <c r="Y7" s="309"/>
      <c r="Z7" s="309"/>
      <c r="AA7" s="309"/>
      <c r="AB7" s="309"/>
      <c r="AC7" s="309"/>
      <c r="AD7" s="309"/>
      <c r="AE7" s="310"/>
      <c r="AF7" s="308" t="s">
        <v>768</v>
      </c>
      <c r="AG7" s="309"/>
      <c r="AH7" s="309"/>
      <c r="AI7" s="309"/>
      <c r="AJ7" s="309"/>
      <c r="AK7" s="309"/>
      <c r="AL7" s="309"/>
      <c r="AM7" s="309"/>
      <c r="AN7" s="309"/>
      <c r="AO7" s="309"/>
      <c r="AP7" s="309"/>
      <c r="AQ7" s="309"/>
      <c r="AR7" s="309"/>
      <c r="AS7" s="309"/>
      <c r="AT7" s="309"/>
      <c r="AU7" s="309"/>
      <c r="AV7" s="309"/>
      <c r="AW7" s="309"/>
      <c r="AX7" s="309"/>
      <c r="AY7" s="309"/>
      <c r="AZ7" s="309"/>
      <c r="BA7" s="309"/>
      <c r="BB7" s="310"/>
      <c r="BC7" s="340" t="s">
        <v>769</v>
      </c>
      <c r="BD7" s="340" t="s">
        <v>770</v>
      </c>
      <c r="BE7" s="266" t="s">
        <v>771</v>
      </c>
      <c r="BF7" s="266" t="s">
        <v>772</v>
      </c>
    </row>
    <row r="8" spans="1:58" ht="16.5" thickBot="1">
      <c r="B8" s="51" t="s">
        <v>773</v>
      </c>
      <c r="C8" s="51" t="s">
        <v>774</v>
      </c>
      <c r="D8" s="51" t="s">
        <v>775</v>
      </c>
      <c r="E8" s="51" t="s">
        <v>24</v>
      </c>
      <c r="F8" s="340"/>
      <c r="G8" s="51" t="s">
        <v>776</v>
      </c>
      <c r="H8" s="51" t="s">
        <v>256</v>
      </c>
      <c r="I8" s="51" t="s">
        <v>777</v>
      </c>
      <c r="J8" s="51" t="s">
        <v>259</v>
      </c>
      <c r="K8" s="51" t="s">
        <v>778</v>
      </c>
      <c r="L8" s="51" t="s">
        <v>261</v>
      </c>
      <c r="M8" s="131" t="s">
        <v>1105</v>
      </c>
      <c r="N8" s="131" t="s">
        <v>755</v>
      </c>
      <c r="O8" s="131" t="s">
        <v>1106</v>
      </c>
      <c r="P8" s="131" t="s">
        <v>1107</v>
      </c>
      <c r="Q8" s="131" t="s">
        <v>1108</v>
      </c>
      <c r="R8" s="131" t="s">
        <v>1109</v>
      </c>
      <c r="S8" s="131" t="s">
        <v>1110</v>
      </c>
      <c r="T8" s="131" t="s">
        <v>1111</v>
      </c>
      <c r="U8" s="131" t="s">
        <v>1112</v>
      </c>
      <c r="V8" s="131" t="s">
        <v>746</v>
      </c>
      <c r="W8" s="131" t="s">
        <v>1113</v>
      </c>
      <c r="X8" s="131" t="s">
        <v>1114</v>
      </c>
      <c r="Y8" s="131" t="s">
        <v>1115</v>
      </c>
      <c r="Z8" s="131" t="s">
        <v>1116</v>
      </c>
      <c r="AA8" s="131" t="s">
        <v>896</v>
      </c>
      <c r="AB8" s="131" t="s">
        <v>757</v>
      </c>
      <c r="AC8" s="131" t="s">
        <v>1117</v>
      </c>
      <c r="AD8" s="51" t="s">
        <v>1118</v>
      </c>
      <c r="AE8" s="51" t="s">
        <v>779</v>
      </c>
      <c r="AF8" s="51" t="s">
        <v>259</v>
      </c>
      <c r="AG8" s="51" t="s">
        <v>778</v>
      </c>
      <c r="AH8" s="51" t="s">
        <v>261</v>
      </c>
      <c r="AI8" s="131" t="s">
        <v>1105</v>
      </c>
      <c r="AJ8" s="131" t="s">
        <v>755</v>
      </c>
      <c r="AK8" s="131" t="s">
        <v>1106</v>
      </c>
      <c r="AL8" s="131" t="s">
        <v>1107</v>
      </c>
      <c r="AM8" s="131" t="s">
        <v>1108</v>
      </c>
      <c r="AN8" s="131" t="s">
        <v>1109</v>
      </c>
      <c r="AO8" s="131" t="s">
        <v>1110</v>
      </c>
      <c r="AP8" s="131" t="s">
        <v>1111</v>
      </c>
      <c r="AQ8" s="131" t="s">
        <v>1112</v>
      </c>
      <c r="AR8" s="131" t="s">
        <v>746</v>
      </c>
      <c r="AS8" s="131" t="s">
        <v>1113</v>
      </c>
      <c r="AT8" s="131" t="s">
        <v>1114</v>
      </c>
      <c r="AU8" s="131" t="s">
        <v>1115</v>
      </c>
      <c r="AV8" s="131" t="s">
        <v>1116</v>
      </c>
      <c r="AW8" s="131" t="s">
        <v>896</v>
      </c>
      <c r="AX8" s="131" t="s">
        <v>757</v>
      </c>
      <c r="AY8" s="131" t="s">
        <v>1117</v>
      </c>
      <c r="AZ8" s="51" t="s">
        <v>1118</v>
      </c>
      <c r="BA8" s="51" t="s">
        <v>780</v>
      </c>
      <c r="BB8" s="51" t="s">
        <v>779</v>
      </c>
      <c r="BC8" s="340"/>
      <c r="BD8" s="340"/>
      <c r="BE8" s="266"/>
      <c r="BF8" s="266"/>
    </row>
    <row r="9" spans="1:58" ht="48" hidden="1" thickBot="1">
      <c r="A9" s="56" t="s">
        <v>174</v>
      </c>
      <c r="B9" s="58">
        <v>1</v>
      </c>
      <c r="C9" s="53" t="s">
        <v>1119</v>
      </c>
      <c r="D9" s="52" t="s">
        <v>328</v>
      </c>
      <c r="E9" s="53" t="s">
        <v>1120</v>
      </c>
      <c r="F9" s="52"/>
      <c r="G9" s="52">
        <v>120000</v>
      </c>
      <c r="H9" s="52" t="s">
        <v>1121</v>
      </c>
      <c r="I9" s="52" t="s">
        <v>1122</v>
      </c>
      <c r="J9" s="52"/>
      <c r="K9" s="52">
        <v>0.5101</v>
      </c>
      <c r="L9" s="52"/>
      <c r="M9" s="52"/>
      <c r="N9" s="52"/>
      <c r="O9" s="52"/>
      <c r="P9" s="52"/>
      <c r="Q9" s="52"/>
      <c r="R9" s="52"/>
      <c r="S9" s="52"/>
      <c r="T9" s="52"/>
      <c r="U9" s="52"/>
      <c r="V9" s="52"/>
      <c r="W9" s="52"/>
      <c r="X9" s="52"/>
      <c r="Y9" s="52"/>
      <c r="Z9" s="52"/>
      <c r="AA9" s="52"/>
      <c r="AB9" s="52"/>
      <c r="AC9" s="52"/>
      <c r="AD9" s="52"/>
      <c r="AE9" s="52"/>
      <c r="AF9" s="52">
        <f>G9*J9*21</f>
        <v>0</v>
      </c>
      <c r="AG9" s="52">
        <f>G9*K9*1</f>
        <v>61212</v>
      </c>
      <c r="AH9" s="52">
        <f>G9*L9*310</f>
        <v>0</v>
      </c>
      <c r="AI9" s="52"/>
      <c r="AJ9" s="52"/>
      <c r="AK9" s="52"/>
      <c r="AL9" s="52"/>
      <c r="AM9" s="52"/>
      <c r="AN9" s="52"/>
      <c r="AO9" s="52"/>
      <c r="AP9" s="52"/>
      <c r="AQ9" s="52"/>
      <c r="AR9" s="52"/>
      <c r="AS9" s="52"/>
      <c r="AT9" s="52"/>
      <c r="AU9" s="52"/>
      <c r="AV9" s="52"/>
      <c r="AW9" s="52"/>
      <c r="AX9" s="52"/>
      <c r="AY9" s="52"/>
      <c r="AZ9" s="52"/>
      <c r="BA9" s="52">
        <f>(AF9+AG9+AH9)/1000</f>
        <v>61.212000000000003</v>
      </c>
      <c r="BB9" s="52"/>
      <c r="BC9" s="52" t="s">
        <v>793</v>
      </c>
      <c r="BD9" s="53" t="s">
        <v>1123</v>
      </c>
      <c r="BE9" s="53" t="s">
        <v>1124</v>
      </c>
      <c r="BF9" s="53" t="s">
        <v>1125</v>
      </c>
    </row>
    <row r="10" spans="1:58" ht="192" customHeight="1" thickBot="1">
      <c r="B10" s="58">
        <v>1</v>
      </c>
      <c r="C10" s="57" t="s">
        <v>1119</v>
      </c>
      <c r="D10" s="5" t="s">
        <v>1126</v>
      </c>
      <c r="E10" s="5" t="s">
        <v>1127</v>
      </c>
      <c r="F10" s="5"/>
      <c r="G10" s="81">
        <f>'4.4. ANEXOS IPPU'!C257</f>
        <v>2188.6999999999998</v>
      </c>
      <c r="H10" s="5" t="s">
        <v>1128</v>
      </c>
      <c r="I10" s="5" t="str">
        <f>H10</f>
        <v>tCO2e</v>
      </c>
      <c r="J10" s="5"/>
      <c r="K10" s="5"/>
      <c r="L10" s="5"/>
      <c r="M10" s="5"/>
      <c r="N10" s="5"/>
      <c r="O10" s="5"/>
      <c r="P10" s="5"/>
      <c r="Q10" s="5"/>
      <c r="R10" s="5"/>
      <c r="S10" s="5"/>
      <c r="T10" s="5"/>
      <c r="U10" s="5"/>
      <c r="V10" s="5"/>
      <c r="W10" s="5"/>
      <c r="X10" s="5"/>
      <c r="Y10" s="5"/>
      <c r="Z10" s="5"/>
      <c r="AA10" s="5"/>
      <c r="AB10" s="5"/>
      <c r="AC10" s="5"/>
      <c r="AD10" s="5"/>
      <c r="AE10" s="5">
        <v>1</v>
      </c>
      <c r="AF10" s="5"/>
      <c r="AG10" s="5"/>
      <c r="AH10" s="5"/>
      <c r="AI10" s="5"/>
      <c r="AJ10" s="5"/>
      <c r="AK10" s="5"/>
      <c r="AL10" s="5"/>
      <c r="AM10" s="5"/>
      <c r="AN10" s="5"/>
      <c r="AO10" s="5"/>
      <c r="AP10" s="5"/>
      <c r="AQ10" s="5"/>
      <c r="AR10" s="5"/>
      <c r="AS10" s="5"/>
      <c r="AT10" s="5"/>
      <c r="AU10" s="5"/>
      <c r="AV10" s="5"/>
      <c r="AW10" s="5"/>
      <c r="AX10" s="5"/>
      <c r="AY10" s="5"/>
      <c r="AZ10" s="5"/>
      <c r="BA10" s="5"/>
      <c r="BB10" s="81">
        <f>'4.4. ANEXOS IPPU'!C257</f>
        <v>2188.6999999999998</v>
      </c>
      <c r="BC10" s="84" t="s">
        <v>793</v>
      </c>
      <c r="BD10" s="84" t="s">
        <v>1129</v>
      </c>
      <c r="BE10" s="84" t="s">
        <v>1130</v>
      </c>
      <c r="BF10" s="84" t="s">
        <v>1131</v>
      </c>
    </row>
    <row r="11" spans="1:58" ht="19.5" thickBot="1">
      <c r="C11" s="64"/>
      <c r="AE11" s="69" t="s">
        <v>810</v>
      </c>
      <c r="AF11" s="82">
        <f t="shared" ref="AF11:AX11" si="0">SUM(AF10:AF10)</f>
        <v>0</v>
      </c>
      <c r="AG11" s="82">
        <f t="shared" si="0"/>
        <v>0</v>
      </c>
      <c r="AH11" s="82">
        <f t="shared" si="0"/>
        <v>0</v>
      </c>
      <c r="AI11" s="82">
        <f t="shared" si="0"/>
        <v>0</v>
      </c>
      <c r="AJ11" s="82">
        <f t="shared" si="0"/>
        <v>0</v>
      </c>
      <c r="AK11" s="82">
        <f t="shared" si="0"/>
        <v>0</v>
      </c>
      <c r="AL11" s="82">
        <f t="shared" si="0"/>
        <v>0</v>
      </c>
      <c r="AM11" s="82">
        <f t="shared" si="0"/>
        <v>0</v>
      </c>
      <c r="AN11" s="82">
        <f t="shared" si="0"/>
        <v>0</v>
      </c>
      <c r="AO11" s="82">
        <f t="shared" si="0"/>
        <v>0</v>
      </c>
      <c r="AP11" s="82">
        <f t="shared" si="0"/>
        <v>0</v>
      </c>
      <c r="AQ11" s="82">
        <f t="shared" si="0"/>
        <v>0</v>
      </c>
      <c r="AR11" s="82">
        <f t="shared" si="0"/>
        <v>0</v>
      </c>
      <c r="AS11" s="82">
        <f t="shared" si="0"/>
        <v>0</v>
      </c>
      <c r="AT11" s="82">
        <f t="shared" si="0"/>
        <v>0</v>
      </c>
      <c r="AU11" s="82">
        <f t="shared" si="0"/>
        <v>0</v>
      </c>
      <c r="AV11" s="82">
        <f t="shared" si="0"/>
        <v>0</v>
      </c>
      <c r="AW11" s="82">
        <f t="shared" si="0"/>
        <v>0</v>
      </c>
      <c r="AX11" s="82">
        <f t="shared" si="0"/>
        <v>0</v>
      </c>
      <c r="AY11" s="82"/>
      <c r="AZ11" s="69" t="s">
        <v>810</v>
      </c>
      <c r="BA11" s="70">
        <f>SUM(BA10:BA10)</f>
        <v>0</v>
      </c>
      <c r="BB11" s="81">
        <f>BB10</f>
        <v>2188.6999999999998</v>
      </c>
    </row>
    <row r="12" spans="1:58">
      <c r="B12" s="60" t="s">
        <v>811</v>
      </c>
    </row>
    <row r="15" spans="1:58">
      <c r="B15" s="50" t="s">
        <v>1132</v>
      </c>
      <c r="C15" s="50"/>
    </row>
    <row r="16" spans="1:58" ht="16.5" thickBot="1"/>
    <row r="17" spans="2:58" ht="16.5" thickBot="1">
      <c r="B17" s="266" t="s">
        <v>764</v>
      </c>
      <c r="C17" s="266"/>
      <c r="D17" s="266"/>
      <c r="E17" s="266"/>
      <c r="F17" s="340" t="s">
        <v>765</v>
      </c>
      <c r="G17" s="266" t="s">
        <v>766</v>
      </c>
      <c r="H17" s="266"/>
      <c r="I17" s="308" t="s">
        <v>767</v>
      </c>
      <c r="J17" s="309"/>
      <c r="K17" s="309"/>
      <c r="L17" s="309"/>
      <c r="M17" s="309"/>
      <c r="N17" s="309"/>
      <c r="O17" s="309"/>
      <c r="P17" s="309"/>
      <c r="Q17" s="309"/>
      <c r="R17" s="309"/>
      <c r="S17" s="309"/>
      <c r="T17" s="309"/>
      <c r="U17" s="309"/>
      <c r="V17" s="309"/>
      <c r="W17" s="309"/>
      <c r="X17" s="309"/>
      <c r="Y17" s="309"/>
      <c r="Z17" s="309"/>
      <c r="AA17" s="309"/>
      <c r="AB17" s="309"/>
      <c r="AC17" s="309"/>
      <c r="AD17" s="309"/>
      <c r="AE17" s="310"/>
      <c r="AF17" s="308" t="s">
        <v>768</v>
      </c>
      <c r="AG17" s="309"/>
      <c r="AH17" s="309"/>
      <c r="AI17" s="309"/>
      <c r="AJ17" s="309"/>
      <c r="AK17" s="309"/>
      <c r="AL17" s="309"/>
      <c r="AM17" s="309"/>
      <c r="AN17" s="309"/>
      <c r="AO17" s="309"/>
      <c r="AP17" s="309"/>
      <c r="AQ17" s="309"/>
      <c r="AR17" s="309"/>
      <c r="AS17" s="309"/>
      <c r="AT17" s="309"/>
      <c r="AU17" s="309"/>
      <c r="AV17" s="309"/>
      <c r="AW17" s="309"/>
      <c r="AX17" s="309"/>
      <c r="AY17" s="309"/>
      <c r="AZ17" s="309"/>
      <c r="BA17" s="309"/>
      <c r="BB17" s="310"/>
      <c r="BC17" s="340" t="s">
        <v>769</v>
      </c>
      <c r="BD17" s="340" t="s">
        <v>770</v>
      </c>
      <c r="BE17" s="266" t="s">
        <v>771</v>
      </c>
      <c r="BF17" s="266" t="s">
        <v>772</v>
      </c>
    </row>
    <row r="18" spans="2:58" ht="16.5" thickBot="1">
      <c r="B18" s="51" t="s">
        <v>773</v>
      </c>
      <c r="C18" s="51" t="s">
        <v>774</v>
      </c>
      <c r="D18" s="51" t="s">
        <v>775</v>
      </c>
      <c r="E18" s="51" t="s">
        <v>24</v>
      </c>
      <c r="F18" s="340"/>
      <c r="G18" s="51" t="s">
        <v>776</v>
      </c>
      <c r="H18" s="51" t="s">
        <v>256</v>
      </c>
      <c r="I18" s="51" t="s">
        <v>777</v>
      </c>
      <c r="J18" s="51" t="s">
        <v>259</v>
      </c>
      <c r="K18" s="51" t="s">
        <v>778</v>
      </c>
      <c r="L18" s="51" t="s">
        <v>261</v>
      </c>
      <c r="M18" s="131" t="s">
        <v>1105</v>
      </c>
      <c r="N18" s="131" t="s">
        <v>755</v>
      </c>
      <c r="O18" s="131" t="s">
        <v>1106</v>
      </c>
      <c r="P18" s="131" t="s">
        <v>1107</v>
      </c>
      <c r="Q18" s="131" t="s">
        <v>1108</v>
      </c>
      <c r="R18" s="131" t="s">
        <v>1109</v>
      </c>
      <c r="S18" s="131" t="s">
        <v>1110</v>
      </c>
      <c r="T18" s="131" t="s">
        <v>1111</v>
      </c>
      <c r="U18" s="131" t="s">
        <v>1112</v>
      </c>
      <c r="V18" s="131" t="s">
        <v>746</v>
      </c>
      <c r="W18" s="131" t="s">
        <v>1113</v>
      </c>
      <c r="X18" s="131" t="s">
        <v>1114</v>
      </c>
      <c r="Y18" s="131" t="s">
        <v>1115</v>
      </c>
      <c r="Z18" s="131" t="s">
        <v>1116</v>
      </c>
      <c r="AA18" s="131" t="s">
        <v>896</v>
      </c>
      <c r="AB18" s="131" t="s">
        <v>757</v>
      </c>
      <c r="AC18" s="131" t="s">
        <v>1117</v>
      </c>
      <c r="AD18" s="51" t="s">
        <v>1118</v>
      </c>
      <c r="AE18" s="51" t="s">
        <v>779</v>
      </c>
      <c r="AF18" s="51" t="s">
        <v>259</v>
      </c>
      <c r="AG18" s="51" t="s">
        <v>778</v>
      </c>
      <c r="AH18" s="51" t="s">
        <v>261</v>
      </c>
      <c r="AI18" s="131" t="s">
        <v>1105</v>
      </c>
      <c r="AJ18" s="131" t="s">
        <v>755</v>
      </c>
      <c r="AK18" s="131" t="s">
        <v>1106</v>
      </c>
      <c r="AL18" s="131" t="s">
        <v>1107</v>
      </c>
      <c r="AM18" s="131" t="s">
        <v>1108</v>
      </c>
      <c r="AN18" s="131" t="s">
        <v>1109</v>
      </c>
      <c r="AO18" s="131" t="s">
        <v>1110</v>
      </c>
      <c r="AP18" s="131" t="s">
        <v>1111</v>
      </c>
      <c r="AQ18" s="131" t="s">
        <v>1112</v>
      </c>
      <c r="AR18" s="131" t="s">
        <v>746</v>
      </c>
      <c r="AS18" s="131" t="s">
        <v>1113</v>
      </c>
      <c r="AT18" s="131" t="s">
        <v>1114</v>
      </c>
      <c r="AU18" s="131" t="s">
        <v>1115</v>
      </c>
      <c r="AV18" s="131" t="s">
        <v>1116</v>
      </c>
      <c r="AW18" s="131" t="s">
        <v>896</v>
      </c>
      <c r="AX18" s="131" t="s">
        <v>757</v>
      </c>
      <c r="AY18" s="131" t="s">
        <v>1117</v>
      </c>
      <c r="AZ18" s="51" t="s">
        <v>1118</v>
      </c>
      <c r="BA18" s="51" t="s">
        <v>780</v>
      </c>
      <c r="BB18" s="51" t="s">
        <v>779</v>
      </c>
      <c r="BC18" s="340"/>
      <c r="BD18" s="340"/>
      <c r="BE18" s="266"/>
      <c r="BF18" s="266"/>
    </row>
    <row r="19" spans="2:58" ht="91.5" customHeight="1" thickBot="1">
      <c r="B19" s="58">
        <v>1</v>
      </c>
      <c r="C19" s="57" t="s">
        <v>1133</v>
      </c>
      <c r="D19" s="111" t="s">
        <v>1134</v>
      </c>
      <c r="E19" s="80" t="s">
        <v>1135</v>
      </c>
      <c r="F19" s="5"/>
      <c r="G19" s="81">
        <f>'4.4. ANEXOS IPPU'!C230</f>
        <v>18238.888262910794</v>
      </c>
      <c r="H19" s="5" t="s">
        <v>792</v>
      </c>
      <c r="I19" s="5" t="s">
        <v>335</v>
      </c>
      <c r="J19" s="5"/>
      <c r="K19" s="5">
        <f>'1.3. Factores de emisión'!F64</f>
        <v>0.51839999999999997</v>
      </c>
      <c r="L19" s="5"/>
      <c r="M19" s="5"/>
      <c r="N19" s="5"/>
      <c r="O19" s="5"/>
      <c r="P19" s="5"/>
      <c r="Q19" s="5"/>
      <c r="R19" s="5"/>
      <c r="S19" s="5"/>
      <c r="T19" s="5"/>
      <c r="U19" s="5"/>
      <c r="V19" s="5"/>
      <c r="W19" s="5"/>
      <c r="X19" s="5"/>
      <c r="Y19" s="5"/>
      <c r="Z19" s="5"/>
      <c r="AA19" s="5"/>
      <c r="AB19" s="5"/>
      <c r="AC19" s="5"/>
      <c r="AD19" s="5"/>
      <c r="AE19" s="5"/>
      <c r="AF19" s="5"/>
      <c r="AG19" s="83">
        <f>(G19*K19*1)/1000</f>
        <v>9.4550396754929551</v>
      </c>
      <c r="AH19" s="5"/>
      <c r="AI19" s="5"/>
      <c r="AJ19" s="5"/>
      <c r="AK19" s="5"/>
      <c r="AL19" s="5"/>
      <c r="AM19" s="5"/>
      <c r="AN19" s="5"/>
      <c r="AO19" s="5"/>
      <c r="AP19" s="5"/>
      <c r="AQ19" s="5"/>
      <c r="AR19" s="5"/>
      <c r="AS19" s="5"/>
      <c r="AT19" s="5"/>
      <c r="AU19" s="5"/>
      <c r="AV19" s="5"/>
      <c r="AW19" s="5"/>
      <c r="AX19" s="5"/>
      <c r="AY19" s="5"/>
      <c r="AZ19" s="5"/>
      <c r="BA19" s="83">
        <f>SUM(AF19:AZ19)</f>
        <v>9.4550396754929551</v>
      </c>
      <c r="BB19" s="5"/>
      <c r="BC19" s="84" t="s">
        <v>793</v>
      </c>
      <c r="BD19" s="84" t="s">
        <v>1136</v>
      </c>
      <c r="BE19" s="84" t="s">
        <v>795</v>
      </c>
      <c r="BF19" s="84" t="s">
        <v>1137</v>
      </c>
    </row>
    <row r="20" spans="2:58" ht="119.25" customHeight="1" thickBot="1">
      <c r="B20" s="58">
        <v>1</v>
      </c>
      <c r="C20" s="57" t="s">
        <v>1133</v>
      </c>
      <c r="D20" s="111" t="s">
        <v>1138</v>
      </c>
      <c r="E20" s="80" t="s">
        <v>1139</v>
      </c>
      <c r="F20" s="5"/>
      <c r="G20" s="81">
        <f>'4.4. ANEXOS IPPU'!F28</f>
        <v>1229.833309859155</v>
      </c>
      <c r="H20" s="57" t="s">
        <v>1054</v>
      </c>
      <c r="I20" s="57" t="s">
        <v>1140</v>
      </c>
      <c r="J20" s="5"/>
      <c r="K20" s="81"/>
      <c r="L20" s="5"/>
      <c r="M20" s="5"/>
      <c r="N20" s="5"/>
      <c r="O20" s="81">
        <f>'4.4. ANEXOS IPPU'!G28</f>
        <v>0.1</v>
      </c>
      <c r="P20" s="5"/>
      <c r="Q20" s="5"/>
      <c r="R20" s="81"/>
      <c r="S20" s="81"/>
      <c r="T20" s="5"/>
      <c r="U20" s="5"/>
      <c r="V20" s="5"/>
      <c r="W20" s="5"/>
      <c r="X20" s="5"/>
      <c r="Y20" s="5"/>
      <c r="Z20" s="5"/>
      <c r="AA20" s="5"/>
      <c r="AB20" s="5"/>
      <c r="AC20" s="5"/>
      <c r="AD20" s="5"/>
      <c r="AE20" s="5"/>
      <c r="AF20" s="5"/>
      <c r="AG20" s="5"/>
      <c r="AH20" s="5"/>
      <c r="AI20" s="5"/>
      <c r="AJ20" s="5"/>
      <c r="AK20" s="83">
        <f>(G20*O20*'1.3. Factores de emisión'!E178)/1000</f>
        <v>222.59982908450704</v>
      </c>
      <c r="AL20" s="5"/>
      <c r="AM20" s="5"/>
      <c r="AN20" s="121"/>
      <c r="AO20" s="83"/>
      <c r="AP20" s="5"/>
      <c r="AQ20" s="5"/>
      <c r="AR20" s="5"/>
      <c r="AS20" s="5"/>
      <c r="AT20" s="5"/>
      <c r="AU20" s="5"/>
      <c r="AV20" s="5"/>
      <c r="AW20" s="5"/>
      <c r="AX20" s="5"/>
      <c r="AY20" s="5"/>
      <c r="AZ20" s="5"/>
      <c r="BA20" s="83">
        <f t="shared" ref="BA20" si="1">SUM(AF20:AZ20)</f>
        <v>222.59982908450704</v>
      </c>
      <c r="BB20" s="5"/>
      <c r="BC20" s="84" t="s">
        <v>915</v>
      </c>
      <c r="BD20" s="84" t="s">
        <v>1141</v>
      </c>
      <c r="BE20" s="84" t="s">
        <v>795</v>
      </c>
      <c r="BF20" s="84" t="s">
        <v>1142</v>
      </c>
    </row>
    <row r="21" spans="2:58" ht="141" customHeight="1" thickBot="1">
      <c r="B21" s="58">
        <v>1</v>
      </c>
      <c r="C21" s="57" t="s">
        <v>1133</v>
      </c>
      <c r="D21" s="111" t="s">
        <v>1138</v>
      </c>
      <c r="E21" s="80" t="s">
        <v>1143</v>
      </c>
      <c r="F21" s="5"/>
      <c r="G21" s="81">
        <f>'4.4. ANEXOS IPPU'!F29</f>
        <v>409.94443661971832</v>
      </c>
      <c r="H21" s="57" t="s">
        <v>1054</v>
      </c>
      <c r="I21" s="57" t="s">
        <v>1140</v>
      </c>
      <c r="J21" s="5"/>
      <c r="K21" s="81"/>
      <c r="L21" s="5"/>
      <c r="M21" s="5"/>
      <c r="N21" s="5"/>
      <c r="O21" s="81"/>
      <c r="P21" s="5"/>
      <c r="Q21" s="5"/>
      <c r="R21" s="81"/>
      <c r="S21" s="81">
        <f>'4.4. ANEXOS IPPU'!G29</f>
        <v>0.1</v>
      </c>
      <c r="T21" s="5"/>
      <c r="U21" s="5"/>
      <c r="V21" s="5"/>
      <c r="W21" s="5"/>
      <c r="X21" s="5"/>
      <c r="Y21" s="5"/>
      <c r="Z21" s="5"/>
      <c r="AA21" s="5"/>
      <c r="AB21" s="5"/>
      <c r="AC21" s="5"/>
      <c r="AD21" s="5"/>
      <c r="AE21" s="5"/>
      <c r="AF21" s="5"/>
      <c r="AG21" s="5"/>
      <c r="AH21" s="5"/>
      <c r="AI21" s="5"/>
      <c r="AJ21" s="5"/>
      <c r="AK21" s="83"/>
      <c r="AL21" s="5"/>
      <c r="AM21" s="5"/>
      <c r="AN21" s="121"/>
      <c r="AO21" s="83">
        <f>(S21*G21*'1.3. Factores de emisión'!E274)/1000</f>
        <v>70.715415316901399</v>
      </c>
      <c r="AP21" s="5"/>
      <c r="AQ21" s="5"/>
      <c r="AR21" s="5"/>
      <c r="AS21" s="5"/>
      <c r="AT21" s="5"/>
      <c r="AU21" s="5"/>
      <c r="AV21" s="5"/>
      <c r="AW21" s="5"/>
      <c r="AX21" s="5"/>
      <c r="AY21" s="5"/>
      <c r="AZ21" s="5"/>
      <c r="BA21" s="83">
        <f t="shared" ref="BA21:BA23" si="2">SUM(AF21:AZ21)</f>
        <v>70.715415316901399</v>
      </c>
      <c r="BB21" s="5"/>
      <c r="BC21" s="84" t="s">
        <v>915</v>
      </c>
      <c r="BD21" s="84" t="s">
        <v>1141</v>
      </c>
      <c r="BE21" s="84" t="s">
        <v>795</v>
      </c>
      <c r="BF21" s="84" t="s">
        <v>1142</v>
      </c>
    </row>
    <row r="22" spans="2:58" ht="162.75" customHeight="1" thickBot="1">
      <c r="B22" s="58">
        <v>1</v>
      </c>
      <c r="C22" s="57" t="s">
        <v>1133</v>
      </c>
      <c r="D22" s="111" t="s">
        <v>1138</v>
      </c>
      <c r="E22" s="80" t="s">
        <v>1144</v>
      </c>
      <c r="F22" s="5"/>
      <c r="G22" s="81">
        <f>'4.4. ANEXOS IPPU'!F123</f>
        <v>623.60759999999993</v>
      </c>
      <c r="H22" s="57" t="s">
        <v>1054</v>
      </c>
      <c r="I22" s="57" t="s">
        <v>1140</v>
      </c>
      <c r="J22" s="5"/>
      <c r="K22" s="81"/>
      <c r="L22" s="5"/>
      <c r="M22" s="5"/>
      <c r="N22" s="5"/>
      <c r="O22" s="5"/>
      <c r="P22" s="5"/>
      <c r="Q22" s="5"/>
      <c r="R22" s="81">
        <f>'4.4. ANEXOS IPPU'!G123</f>
        <v>0.02</v>
      </c>
      <c r="S22" s="81"/>
      <c r="T22" s="5"/>
      <c r="U22" s="5"/>
      <c r="V22" s="5"/>
      <c r="W22" s="5"/>
      <c r="X22" s="5"/>
      <c r="Y22" s="5"/>
      <c r="Z22" s="5"/>
      <c r="AA22" s="5"/>
      <c r="AB22" s="5"/>
      <c r="AC22" s="5"/>
      <c r="AD22" s="5"/>
      <c r="AE22" s="5"/>
      <c r="AF22" s="5"/>
      <c r="AG22" s="5"/>
      <c r="AH22" s="5"/>
      <c r="AI22" s="5"/>
      <c r="AJ22" s="5"/>
      <c r="AK22" s="5"/>
      <c r="AL22" s="5"/>
      <c r="AM22" s="5"/>
      <c r="AN22" s="121">
        <f>(R22*G22*'1.3. Factores de emisión'!E192)/1000</f>
        <v>16.213797599999999</v>
      </c>
      <c r="AO22" s="83"/>
      <c r="AP22" s="5"/>
      <c r="AQ22" s="5"/>
      <c r="AR22" s="5"/>
      <c r="AS22" s="5"/>
      <c r="AT22" s="5"/>
      <c r="AU22" s="5"/>
      <c r="AV22" s="5"/>
      <c r="AW22" s="5"/>
      <c r="AX22" s="5"/>
      <c r="AY22" s="5"/>
      <c r="AZ22" s="5"/>
      <c r="BA22" s="83">
        <f t="shared" si="2"/>
        <v>16.213797599999999</v>
      </c>
      <c r="BB22" s="5"/>
      <c r="BC22" s="84" t="s">
        <v>915</v>
      </c>
      <c r="BD22" s="84" t="s">
        <v>1145</v>
      </c>
      <c r="BE22" s="84" t="s">
        <v>1146</v>
      </c>
      <c r="BF22" s="84" t="s">
        <v>1147</v>
      </c>
    </row>
    <row r="23" spans="2:58" ht="169.5" customHeight="1" thickBot="1">
      <c r="B23" s="58">
        <v>1</v>
      </c>
      <c r="C23" s="57" t="s">
        <v>1133</v>
      </c>
      <c r="D23" s="111" t="s">
        <v>1138</v>
      </c>
      <c r="E23" s="80" t="s">
        <v>1148</v>
      </c>
      <c r="F23" s="5"/>
      <c r="G23" s="81">
        <f>'4.4. ANEXOS IPPU'!F124</f>
        <v>267.26039999999995</v>
      </c>
      <c r="H23" s="57" t="s">
        <v>1054</v>
      </c>
      <c r="I23" s="57" t="s">
        <v>1140</v>
      </c>
      <c r="J23" s="5"/>
      <c r="K23" s="81"/>
      <c r="L23" s="5"/>
      <c r="M23" s="5"/>
      <c r="N23" s="5"/>
      <c r="O23" s="5"/>
      <c r="P23" s="5"/>
      <c r="Q23" s="5"/>
      <c r="R23" s="81"/>
      <c r="S23" s="81"/>
      <c r="T23" s="81">
        <f>'4.4. ANEXOS IPPU'!G124</f>
        <v>0.02</v>
      </c>
      <c r="U23" s="5"/>
      <c r="V23" s="5"/>
      <c r="W23" s="5"/>
      <c r="X23" s="5"/>
      <c r="Y23" s="5"/>
      <c r="Z23" s="5"/>
      <c r="AA23" s="5"/>
      <c r="AB23" s="5"/>
      <c r="AC23" s="5"/>
      <c r="AD23" s="5"/>
      <c r="AE23" s="5"/>
      <c r="AF23" s="5"/>
      <c r="AG23" s="5"/>
      <c r="AH23" s="5"/>
      <c r="AI23" s="5"/>
      <c r="AJ23" s="5"/>
      <c r="AK23" s="5"/>
      <c r="AL23" s="5"/>
      <c r="AM23" s="5"/>
      <c r="AN23" s="121"/>
      <c r="AO23" s="83"/>
      <c r="AP23" s="132">
        <f>(T23*G23*'1.3. Factores de emisión'!E265)/1000</f>
        <v>5.3452079999999986E-6</v>
      </c>
      <c r="AQ23" s="5"/>
      <c r="AR23" s="5"/>
      <c r="AS23" s="5"/>
      <c r="AT23" s="5"/>
      <c r="AU23" s="5"/>
      <c r="AV23" s="5"/>
      <c r="AW23" s="5"/>
      <c r="AX23" s="5"/>
      <c r="AY23" s="5"/>
      <c r="AZ23" s="5"/>
      <c r="BA23" s="83">
        <f t="shared" si="2"/>
        <v>5.3452079999999986E-6</v>
      </c>
      <c r="BB23" s="5"/>
      <c r="BC23" s="84" t="s">
        <v>915</v>
      </c>
      <c r="BD23" s="84" t="s">
        <v>1145</v>
      </c>
      <c r="BE23" s="84" t="s">
        <v>1146</v>
      </c>
      <c r="BF23" s="84" t="s">
        <v>1147</v>
      </c>
    </row>
    <row r="24" spans="2:58" ht="109.5" customHeight="1" thickBot="1">
      <c r="B24" s="58">
        <v>1</v>
      </c>
      <c r="C24" s="57" t="s">
        <v>1133</v>
      </c>
      <c r="D24" s="111" t="s">
        <v>1149</v>
      </c>
      <c r="E24" s="80" t="s">
        <v>1150</v>
      </c>
      <c r="F24" s="5"/>
      <c r="G24" s="81">
        <f>'4.4. ANEXOS IPPU'!D9</f>
        <v>22113.143529077497</v>
      </c>
      <c r="H24" s="5" t="s">
        <v>1054</v>
      </c>
      <c r="I24" s="57" t="s">
        <v>1151</v>
      </c>
      <c r="J24" s="5"/>
      <c r="K24" s="81">
        <v>1</v>
      </c>
      <c r="L24" s="5"/>
      <c r="M24" s="5"/>
      <c r="N24" s="5"/>
      <c r="O24" s="5"/>
      <c r="P24" s="5"/>
      <c r="Q24" s="5"/>
      <c r="R24" s="81"/>
      <c r="S24" s="81"/>
      <c r="T24" s="81"/>
      <c r="U24" s="5"/>
      <c r="V24" s="5"/>
      <c r="W24" s="5"/>
      <c r="X24" s="5"/>
      <c r="Y24" s="5"/>
      <c r="Z24" s="5"/>
      <c r="AA24" s="5"/>
      <c r="AB24" s="5"/>
      <c r="AC24" s="5"/>
      <c r="AD24" s="5"/>
      <c r="AE24" s="5"/>
      <c r="AF24" s="5"/>
      <c r="AG24" s="121">
        <f>G24*K24*1/1000</f>
        <v>22.113143529077497</v>
      </c>
      <c r="AH24" s="5"/>
      <c r="AI24" s="5"/>
      <c r="AJ24" s="5"/>
      <c r="AK24" s="5"/>
      <c r="AL24" s="5"/>
      <c r="AM24" s="5"/>
      <c r="AN24" s="121"/>
      <c r="AO24" s="83"/>
      <c r="AP24" s="132"/>
      <c r="AQ24" s="5"/>
      <c r="AR24" s="5"/>
      <c r="AS24" s="5"/>
      <c r="AT24" s="5"/>
      <c r="AU24" s="5"/>
      <c r="AV24" s="5"/>
      <c r="AW24" s="5"/>
      <c r="AX24" s="5"/>
      <c r="AY24" s="5"/>
      <c r="AZ24" s="5"/>
      <c r="BA24" s="83">
        <f t="shared" ref="BA24:BA25" si="3">SUM(AF24:AZ24)</f>
        <v>22.113143529077497</v>
      </c>
      <c r="BB24" s="5"/>
      <c r="BC24" s="84" t="s">
        <v>793</v>
      </c>
      <c r="BD24" s="84" t="s">
        <v>1152</v>
      </c>
      <c r="BE24" s="84" t="s">
        <v>826</v>
      </c>
      <c r="BF24" s="84" t="s">
        <v>1137</v>
      </c>
    </row>
    <row r="25" spans="2:58" ht="104.25" customHeight="1" thickBot="1">
      <c r="B25" s="58">
        <v>1</v>
      </c>
      <c r="C25" s="57" t="s">
        <v>1133</v>
      </c>
      <c r="D25" s="111" t="s">
        <v>1134</v>
      </c>
      <c r="E25" s="80" t="s">
        <v>1153</v>
      </c>
      <c r="F25" s="5"/>
      <c r="G25" s="81">
        <f>'4.4. ANEXOS IPPU'!C236</f>
        <v>9625.5891156462567</v>
      </c>
      <c r="H25" s="5" t="s">
        <v>792</v>
      </c>
      <c r="I25" s="5" t="s">
        <v>335</v>
      </c>
      <c r="J25" s="5"/>
      <c r="K25" s="5">
        <f>'1.3. Factores de emisión'!F64</f>
        <v>0.51839999999999997</v>
      </c>
      <c r="L25" s="5"/>
      <c r="M25" s="5"/>
      <c r="N25" s="5"/>
      <c r="O25" s="5"/>
      <c r="P25" s="5"/>
      <c r="Q25" s="5"/>
      <c r="R25" s="5"/>
      <c r="S25" s="5"/>
      <c r="T25" s="5"/>
      <c r="U25" s="5"/>
      <c r="V25" s="5"/>
      <c r="W25" s="5"/>
      <c r="X25" s="5"/>
      <c r="Y25" s="5"/>
      <c r="Z25" s="5"/>
      <c r="AA25" s="5"/>
      <c r="AB25" s="5"/>
      <c r="AC25" s="5"/>
      <c r="AD25" s="5"/>
      <c r="AE25" s="5"/>
      <c r="AF25" s="5"/>
      <c r="AG25" s="83">
        <f>(G25*K25*1)/1000</f>
        <v>4.9899053975510199</v>
      </c>
      <c r="AH25" s="5"/>
      <c r="AI25" s="5"/>
      <c r="AJ25" s="5"/>
      <c r="AK25" s="5"/>
      <c r="AL25" s="5"/>
      <c r="AM25" s="5"/>
      <c r="AN25" s="5"/>
      <c r="AO25" s="5"/>
      <c r="AP25" s="5"/>
      <c r="AQ25" s="5"/>
      <c r="AR25" s="5"/>
      <c r="AS25" s="5"/>
      <c r="AT25" s="5"/>
      <c r="AU25" s="5"/>
      <c r="AV25" s="5"/>
      <c r="AW25" s="5"/>
      <c r="AX25" s="5"/>
      <c r="AY25" s="5"/>
      <c r="AZ25" s="5"/>
      <c r="BA25" s="83">
        <f t="shared" si="3"/>
        <v>4.9899053975510199</v>
      </c>
      <c r="BB25" s="5"/>
      <c r="BC25" s="84" t="s">
        <v>793</v>
      </c>
      <c r="BD25" s="84" t="s">
        <v>1154</v>
      </c>
      <c r="BE25" s="84" t="s">
        <v>826</v>
      </c>
      <c r="BF25" s="84" t="s">
        <v>1137</v>
      </c>
    </row>
    <row r="26" spans="2:58" ht="116.25" customHeight="1" thickBot="1">
      <c r="B26" s="58">
        <v>1</v>
      </c>
      <c r="C26" s="57" t="s">
        <v>1133</v>
      </c>
      <c r="D26" s="111" t="s">
        <v>1138</v>
      </c>
      <c r="E26" s="80" t="s">
        <v>1155</v>
      </c>
      <c r="F26" s="5"/>
      <c r="G26" s="81">
        <f>'4.4. ANEXOS IPPU'!F42</f>
        <v>1729.842612244898</v>
      </c>
      <c r="H26" s="57" t="s">
        <v>1054</v>
      </c>
      <c r="I26" s="57" t="s">
        <v>1140</v>
      </c>
      <c r="J26" s="5"/>
      <c r="K26" s="81"/>
      <c r="L26" s="5"/>
      <c r="M26" s="5"/>
      <c r="N26" s="5"/>
      <c r="O26" s="81"/>
      <c r="P26" s="5"/>
      <c r="Q26" s="5"/>
      <c r="R26" s="81">
        <f>'4.4. ANEXOS IPPU'!G42</f>
        <v>0.1</v>
      </c>
      <c r="S26" s="81"/>
      <c r="T26" s="81"/>
      <c r="U26" s="5"/>
      <c r="V26" s="5"/>
      <c r="W26" s="5"/>
      <c r="X26" s="5"/>
      <c r="Y26" s="5"/>
      <c r="Z26" s="5"/>
      <c r="AA26" s="5"/>
      <c r="AB26" s="5"/>
      <c r="AC26" s="5"/>
      <c r="AD26" s="5"/>
      <c r="AE26" s="5"/>
      <c r="AF26" s="5"/>
      <c r="AG26" s="5"/>
      <c r="AH26" s="5"/>
      <c r="AI26" s="5"/>
      <c r="AJ26" s="5"/>
      <c r="AK26" s="83"/>
      <c r="AL26" s="5"/>
      <c r="AM26" s="5"/>
      <c r="AN26" s="121">
        <f>R26*G26*'1.3. Factores de emisión'!E192/1000</f>
        <v>224.87953959183673</v>
      </c>
      <c r="AO26" s="83"/>
      <c r="AP26" s="132"/>
      <c r="AQ26" s="5"/>
      <c r="AR26" s="5"/>
      <c r="AS26" s="5"/>
      <c r="AT26" s="5"/>
      <c r="AU26" s="5"/>
      <c r="AV26" s="5"/>
      <c r="AW26" s="5"/>
      <c r="AX26" s="5"/>
      <c r="AY26" s="5"/>
      <c r="AZ26" s="5"/>
      <c r="BA26" s="83">
        <f t="shared" ref="BA26:BA87" si="4">SUM(AF26:AZ26)</f>
        <v>224.87953959183673</v>
      </c>
      <c r="BB26" s="5"/>
      <c r="BC26" s="84" t="s">
        <v>915</v>
      </c>
      <c r="BD26" s="84" t="s">
        <v>1156</v>
      </c>
      <c r="BE26" s="84" t="s">
        <v>826</v>
      </c>
      <c r="BF26" s="84" t="s">
        <v>1142</v>
      </c>
    </row>
    <row r="27" spans="2:58" ht="122.25" customHeight="1" thickBot="1">
      <c r="B27" s="58">
        <v>1</v>
      </c>
      <c r="C27" s="57" t="s">
        <v>1133</v>
      </c>
      <c r="D27" s="111" t="s">
        <v>1138</v>
      </c>
      <c r="E27" s="80" t="s">
        <v>1157</v>
      </c>
      <c r="F27" s="5"/>
      <c r="G27" s="81">
        <f>'4.4. ANEXOS IPPU'!F43</f>
        <v>44.354938775510199</v>
      </c>
      <c r="H27" s="57" t="s">
        <v>1054</v>
      </c>
      <c r="I27" s="57" t="s">
        <v>1140</v>
      </c>
      <c r="J27" s="5"/>
      <c r="K27" s="81"/>
      <c r="L27" s="5"/>
      <c r="M27" s="5"/>
      <c r="N27" s="5"/>
      <c r="O27" s="81"/>
      <c r="P27" s="5"/>
      <c r="Q27" s="5"/>
      <c r="R27" s="81"/>
      <c r="S27" s="81"/>
      <c r="T27" s="81"/>
      <c r="U27" s="81"/>
      <c r="V27" s="5"/>
      <c r="W27" s="5"/>
      <c r="X27" s="81">
        <f>'4.4. ANEXOS IPPU'!G43</f>
        <v>0.1</v>
      </c>
      <c r="Y27" s="5"/>
      <c r="Z27" s="5"/>
      <c r="AA27" s="5"/>
      <c r="AB27" s="5"/>
      <c r="AC27" s="5"/>
      <c r="AD27" s="5"/>
      <c r="AE27" s="5"/>
      <c r="AF27" s="5"/>
      <c r="AG27" s="5"/>
      <c r="AH27" s="5"/>
      <c r="AI27" s="5"/>
      <c r="AJ27" s="5"/>
      <c r="AK27" s="83"/>
      <c r="AL27" s="5"/>
      <c r="AM27" s="5"/>
      <c r="AN27" s="121"/>
      <c r="AO27" s="83"/>
      <c r="AP27" s="132"/>
      <c r="AQ27" s="5"/>
      <c r="AR27" s="5"/>
      <c r="AS27" s="5"/>
      <c r="AT27" s="5">
        <f>X27*G27*'1.3. Factores de emisión'!E180/1000</f>
        <v>1.0245990857142867E-2</v>
      </c>
      <c r="AU27" s="5"/>
      <c r="AV27" s="5"/>
      <c r="AW27" s="5"/>
      <c r="AX27" s="5"/>
      <c r="AY27" s="5"/>
      <c r="AZ27" s="5"/>
      <c r="BA27" s="83">
        <f t="shared" si="4"/>
        <v>1.0245990857142867E-2</v>
      </c>
      <c r="BB27" s="5"/>
      <c r="BC27" s="84" t="s">
        <v>915</v>
      </c>
      <c r="BD27" s="84" t="s">
        <v>1156</v>
      </c>
      <c r="BE27" s="84" t="s">
        <v>826</v>
      </c>
      <c r="BF27" s="84" t="s">
        <v>1142</v>
      </c>
    </row>
    <row r="28" spans="2:58" ht="122.25" customHeight="1" thickBot="1">
      <c r="B28" s="58">
        <v>1</v>
      </c>
      <c r="C28" s="57" t="s">
        <v>1133</v>
      </c>
      <c r="D28" s="111" t="s">
        <v>1138</v>
      </c>
      <c r="E28" s="80" t="s">
        <v>1158</v>
      </c>
      <c r="F28" s="5"/>
      <c r="G28" s="81">
        <f>'4.4. ANEXOS IPPU'!F44</f>
        <v>1375.0031020408162</v>
      </c>
      <c r="H28" s="57" t="s">
        <v>1054</v>
      </c>
      <c r="I28" s="57" t="s">
        <v>1140</v>
      </c>
      <c r="J28" s="5"/>
      <c r="K28" s="81"/>
      <c r="L28" s="5"/>
      <c r="M28" s="5"/>
      <c r="N28" s="5"/>
      <c r="O28" s="81"/>
      <c r="P28" s="5"/>
      <c r="Q28" s="5"/>
      <c r="R28" s="81"/>
      <c r="S28" s="81">
        <f>'4.4. ANEXOS IPPU'!G44</f>
        <v>0.1</v>
      </c>
      <c r="T28" s="81"/>
      <c r="U28" s="5"/>
      <c r="V28" s="5"/>
      <c r="W28" s="5"/>
      <c r="X28" s="5"/>
      <c r="Y28" s="5"/>
      <c r="Z28" s="5"/>
      <c r="AA28" s="5"/>
      <c r="AB28" s="5"/>
      <c r="AC28" s="5"/>
      <c r="AD28" s="5"/>
      <c r="AE28" s="5"/>
      <c r="AF28" s="5"/>
      <c r="AG28" s="5"/>
      <c r="AH28" s="5"/>
      <c r="AI28" s="5"/>
      <c r="AJ28" s="5"/>
      <c r="AK28" s="83"/>
      <c r="AL28" s="5"/>
      <c r="AM28" s="5"/>
      <c r="AN28" s="121"/>
      <c r="AO28" s="83">
        <f>S28*G28*'1.3. Factores de emisión'!E274/1000</f>
        <v>237.18803510204074</v>
      </c>
      <c r="AP28" s="132"/>
      <c r="AQ28" s="5"/>
      <c r="AR28" s="5"/>
      <c r="AS28" s="5"/>
      <c r="AT28" s="5"/>
      <c r="AU28" s="5"/>
      <c r="AV28" s="5"/>
      <c r="AW28" s="5"/>
      <c r="AX28" s="5"/>
      <c r="AY28" s="5"/>
      <c r="AZ28" s="5"/>
      <c r="BA28" s="83">
        <f t="shared" si="4"/>
        <v>237.18803510204074</v>
      </c>
      <c r="BB28" s="5"/>
      <c r="BC28" s="84" t="s">
        <v>915</v>
      </c>
      <c r="BD28" s="84" t="s">
        <v>1156</v>
      </c>
      <c r="BE28" s="84" t="s">
        <v>826</v>
      </c>
      <c r="BF28" s="84" t="s">
        <v>1142</v>
      </c>
    </row>
    <row r="29" spans="2:58" ht="118.5" customHeight="1" thickBot="1">
      <c r="B29" s="58">
        <v>1</v>
      </c>
      <c r="C29" s="57" t="s">
        <v>1133</v>
      </c>
      <c r="D29" s="111" t="s">
        <v>1138</v>
      </c>
      <c r="E29" s="80" t="s">
        <v>1159</v>
      </c>
      <c r="F29" s="5"/>
      <c r="G29" s="81">
        <f>'4.4. ANEXOS IPPU'!F45</f>
        <v>1197.5833469387755</v>
      </c>
      <c r="H29" s="57" t="s">
        <v>1054</v>
      </c>
      <c r="I29" s="57" t="s">
        <v>1140</v>
      </c>
      <c r="J29" s="5"/>
      <c r="K29" s="81"/>
      <c r="L29" s="5"/>
      <c r="M29" s="5"/>
      <c r="N29" s="5"/>
      <c r="O29" s="81">
        <f>'4.4. ANEXOS IPPU'!G45</f>
        <v>0.1</v>
      </c>
      <c r="P29" s="5"/>
      <c r="Q29" s="5"/>
      <c r="R29" s="81"/>
      <c r="S29" s="81"/>
      <c r="T29" s="81"/>
      <c r="U29" s="5"/>
      <c r="V29" s="5"/>
      <c r="W29" s="5"/>
      <c r="X29" s="5"/>
      <c r="Y29" s="5"/>
      <c r="Z29" s="5"/>
      <c r="AA29" s="5"/>
      <c r="AB29" s="5"/>
      <c r="AC29" s="5"/>
      <c r="AD29" s="5"/>
      <c r="AE29" s="5"/>
      <c r="AF29" s="5"/>
      <c r="AG29" s="5"/>
      <c r="AH29" s="5"/>
      <c r="AI29" s="5"/>
      <c r="AJ29" s="5"/>
      <c r="AK29" s="83">
        <f>O29*G29*'1.3. Factores de emisión'!E178/1000</f>
        <v>216.7625857959184</v>
      </c>
      <c r="AL29" s="5"/>
      <c r="AM29" s="5"/>
      <c r="AN29" s="121"/>
      <c r="AO29" s="83"/>
      <c r="AP29" s="132"/>
      <c r="AQ29" s="5"/>
      <c r="AR29" s="5"/>
      <c r="AS29" s="5"/>
      <c r="AT29" s="5"/>
      <c r="AU29" s="5"/>
      <c r="AV29" s="5"/>
      <c r="AW29" s="5"/>
      <c r="AX29" s="5"/>
      <c r="AY29" s="5"/>
      <c r="AZ29" s="5"/>
      <c r="BA29" s="83">
        <f t="shared" si="4"/>
        <v>216.7625857959184</v>
      </c>
      <c r="BB29" s="5"/>
      <c r="BC29" s="84" t="s">
        <v>915</v>
      </c>
      <c r="BD29" s="84" t="s">
        <v>1156</v>
      </c>
      <c r="BE29" s="84" t="s">
        <v>826</v>
      </c>
      <c r="BF29" s="84" t="s">
        <v>1142</v>
      </c>
    </row>
    <row r="30" spans="2:58" ht="120.75" customHeight="1" thickBot="1">
      <c r="B30" s="58">
        <v>1</v>
      </c>
      <c r="C30" s="57" t="s">
        <v>1133</v>
      </c>
      <c r="D30" s="111" t="s">
        <v>1138</v>
      </c>
      <c r="E30" s="80" t="s">
        <v>1160</v>
      </c>
      <c r="F30" s="5"/>
      <c r="G30" s="81">
        <f>'4.4. ANEXOS IPPU'!F46</f>
        <v>1729.842612244898</v>
      </c>
      <c r="H30" s="57" t="s">
        <v>1054</v>
      </c>
      <c r="I30" s="57" t="s">
        <v>1140</v>
      </c>
      <c r="J30" s="5"/>
      <c r="K30" s="81"/>
      <c r="L30" s="5"/>
      <c r="M30" s="5"/>
      <c r="N30" s="5"/>
      <c r="O30" s="81"/>
      <c r="P30" s="5"/>
      <c r="R30" s="81"/>
      <c r="S30" s="81"/>
      <c r="T30" s="113"/>
      <c r="U30" s="5"/>
      <c r="V30" s="5"/>
      <c r="W30" s="81">
        <f>'4.4. ANEXOS IPPU'!G46</f>
        <v>0.1</v>
      </c>
      <c r="X30" s="5"/>
      <c r="Y30" s="5"/>
      <c r="Z30" s="5"/>
      <c r="AA30" s="5"/>
      <c r="AB30" s="5"/>
      <c r="AC30" s="5"/>
      <c r="AD30" s="5"/>
      <c r="AE30" s="5"/>
      <c r="AF30" s="5"/>
      <c r="AG30" s="5"/>
      <c r="AH30" s="5"/>
      <c r="AI30" s="5"/>
      <c r="AJ30" s="5"/>
      <c r="AK30" s="83"/>
      <c r="AL30" s="5"/>
      <c r="AN30" s="121"/>
      <c r="AO30" s="83"/>
      <c r="AP30" s="132"/>
      <c r="AQ30" s="5"/>
      <c r="AR30" s="5"/>
      <c r="AS30" s="83">
        <f>W30*G30*'1.3. Factores de emisión'!E166/1000</f>
        <v>1885.5284473469389</v>
      </c>
      <c r="AT30" s="5"/>
      <c r="AU30" s="5"/>
      <c r="AV30" s="5"/>
      <c r="AW30" s="5"/>
      <c r="AX30" s="5"/>
      <c r="AY30" s="5"/>
      <c r="AZ30" s="5"/>
      <c r="BA30" s="83">
        <f t="shared" si="4"/>
        <v>1885.5284473469389</v>
      </c>
      <c r="BB30" s="5"/>
      <c r="BC30" s="84" t="s">
        <v>915</v>
      </c>
      <c r="BD30" s="84" t="s">
        <v>1156</v>
      </c>
      <c r="BE30" s="84" t="s">
        <v>826</v>
      </c>
      <c r="BF30" s="84" t="s">
        <v>1142</v>
      </c>
    </row>
    <row r="31" spans="2:58" ht="91.5" customHeight="1" thickBot="1">
      <c r="B31" s="58">
        <v>1</v>
      </c>
      <c r="C31" s="57" t="s">
        <v>1133</v>
      </c>
      <c r="D31" s="111" t="s">
        <v>1138</v>
      </c>
      <c r="E31" s="80" t="s">
        <v>1161</v>
      </c>
      <c r="F31" s="5"/>
      <c r="G31" s="81">
        <f>'4.4. ANEXOS IPPU'!C52</f>
        <v>1073.9478639455785</v>
      </c>
      <c r="H31" s="57" t="s">
        <v>1054</v>
      </c>
      <c r="I31" s="57" t="s">
        <v>1151</v>
      </c>
      <c r="J31" s="5"/>
      <c r="K31" s="81"/>
      <c r="L31" s="5"/>
      <c r="M31" s="5"/>
      <c r="N31" s="5"/>
      <c r="O31" s="81"/>
      <c r="P31" s="5"/>
      <c r="Q31" s="5"/>
      <c r="R31" s="81">
        <f>'1.3. Factores de emisión'!E192</f>
        <v>1300</v>
      </c>
      <c r="S31" s="81"/>
      <c r="T31" s="81"/>
      <c r="U31" s="5"/>
      <c r="V31" s="5"/>
      <c r="W31" s="5"/>
      <c r="X31" s="5"/>
      <c r="Y31" s="5"/>
      <c r="Z31" s="5"/>
      <c r="AA31" s="5"/>
      <c r="AB31" s="5"/>
      <c r="AC31" s="5"/>
      <c r="AD31" s="5"/>
      <c r="AE31" s="5"/>
      <c r="AF31" s="5"/>
      <c r="AG31" s="5"/>
      <c r="AH31" s="5"/>
      <c r="AI31" s="5"/>
      <c r="AJ31" s="5"/>
      <c r="AK31" s="83"/>
      <c r="AL31" s="5"/>
      <c r="AM31" s="5"/>
      <c r="AN31" s="121">
        <f>R31*G31/1000</f>
        <v>1396.1322231292522</v>
      </c>
      <c r="AO31" s="83"/>
      <c r="AP31" s="132"/>
      <c r="AQ31" s="5"/>
      <c r="AR31" s="5"/>
      <c r="AS31" s="5"/>
      <c r="AT31" s="5"/>
      <c r="AU31" s="5"/>
      <c r="AV31" s="5"/>
      <c r="AW31" s="5"/>
      <c r="AX31" s="5"/>
      <c r="AY31" s="5"/>
      <c r="AZ31" s="5"/>
      <c r="BA31" s="83">
        <f t="shared" si="4"/>
        <v>1396.1322231292522</v>
      </c>
      <c r="BB31" s="5"/>
      <c r="BC31" s="84" t="s">
        <v>793</v>
      </c>
      <c r="BD31" s="84" t="s">
        <v>1162</v>
      </c>
      <c r="BE31" s="84" t="s">
        <v>826</v>
      </c>
      <c r="BF31" s="84" t="s">
        <v>1137</v>
      </c>
    </row>
    <row r="32" spans="2:58" ht="85.5" customHeight="1" thickBot="1">
      <c r="B32" s="58">
        <v>1</v>
      </c>
      <c r="C32" s="57" t="s">
        <v>1133</v>
      </c>
      <c r="D32" s="111" t="s">
        <v>1138</v>
      </c>
      <c r="E32" s="80" t="s">
        <v>1163</v>
      </c>
      <c r="F32" s="5"/>
      <c r="G32" s="81">
        <f>'4.4. ANEXOS IPPU'!C53</f>
        <v>24.094040816326537</v>
      </c>
      <c r="H32" s="57" t="s">
        <v>1054</v>
      </c>
      <c r="I32" s="57" t="s">
        <v>1151</v>
      </c>
      <c r="J32" s="5"/>
      <c r="K32" s="81"/>
      <c r="L32" s="5"/>
      <c r="M32" s="5"/>
      <c r="N32" s="5"/>
      <c r="O32" s="81"/>
      <c r="P32" s="5"/>
      <c r="Q32" s="5"/>
      <c r="R32" s="81"/>
      <c r="S32" s="81"/>
      <c r="T32" s="81"/>
      <c r="U32" s="5"/>
      <c r="V32" s="5"/>
      <c r="W32" s="5"/>
      <c r="X32" s="5">
        <f>'1.3. Factores de emisión'!E180</f>
        <v>2.3100000000000023</v>
      </c>
      <c r="Y32" s="5"/>
      <c r="Z32" s="5"/>
      <c r="AA32" s="5"/>
      <c r="AB32" s="5"/>
      <c r="AC32" s="5"/>
      <c r="AD32" s="5"/>
      <c r="AE32" s="5"/>
      <c r="AF32" s="5"/>
      <c r="AG32" s="5"/>
      <c r="AH32" s="5"/>
      <c r="AI32" s="5"/>
      <c r="AJ32" s="5"/>
      <c r="AK32" s="83"/>
      <c r="AL32" s="5"/>
      <c r="AM32" s="5"/>
      <c r="AN32" s="121"/>
      <c r="AO32" s="83"/>
      <c r="AP32" s="132"/>
      <c r="AQ32" s="5"/>
      <c r="AR32" s="5"/>
      <c r="AS32" s="5"/>
      <c r="AT32" s="5">
        <f>X32*G32/1000</f>
        <v>5.5657234285714355E-2</v>
      </c>
      <c r="AU32" s="5"/>
      <c r="AV32" s="5"/>
      <c r="AW32" s="5"/>
      <c r="AX32" s="5"/>
      <c r="AY32" s="5"/>
      <c r="AZ32" s="5"/>
      <c r="BA32" s="83">
        <f t="shared" si="4"/>
        <v>5.5657234285714355E-2</v>
      </c>
      <c r="BB32" s="5"/>
      <c r="BC32" s="84" t="s">
        <v>793</v>
      </c>
      <c r="BD32" s="84" t="s">
        <v>1162</v>
      </c>
      <c r="BE32" s="84" t="s">
        <v>826</v>
      </c>
      <c r="BF32" s="84" t="s">
        <v>1137</v>
      </c>
    </row>
    <row r="33" spans="2:58" ht="90" customHeight="1" thickBot="1">
      <c r="B33" s="58">
        <v>1</v>
      </c>
      <c r="C33" s="57" t="s">
        <v>1133</v>
      </c>
      <c r="D33" s="111" t="s">
        <v>1138</v>
      </c>
      <c r="E33" s="80" t="s">
        <v>1164</v>
      </c>
      <c r="F33" s="5"/>
      <c r="G33" s="81">
        <f>'4.4. ANEXOS IPPU'!C54</f>
        <v>906.85971665472937</v>
      </c>
      <c r="H33" s="57" t="s">
        <v>1054</v>
      </c>
      <c r="I33" s="57" t="s">
        <v>1151</v>
      </c>
      <c r="J33" s="5"/>
      <c r="K33" s="81"/>
      <c r="L33" s="5"/>
      <c r="M33" s="5"/>
      <c r="N33" s="5"/>
      <c r="O33" s="81"/>
      <c r="P33" s="5"/>
      <c r="Q33" s="5"/>
      <c r="R33" s="81"/>
      <c r="S33" s="81">
        <f>'1.3. Factores de emisión'!E274</f>
        <v>1724.9999999999998</v>
      </c>
      <c r="T33" s="81"/>
      <c r="U33" s="5"/>
      <c r="V33" s="81"/>
      <c r="W33" s="5"/>
      <c r="X33" s="5"/>
      <c r="Y33" s="5"/>
      <c r="Z33" s="5"/>
      <c r="AA33" s="5"/>
      <c r="AB33" s="5"/>
      <c r="AC33" s="5"/>
      <c r="AD33" s="5"/>
      <c r="AE33" s="5"/>
      <c r="AF33" s="5"/>
      <c r="AG33" s="5"/>
      <c r="AH33" s="5"/>
      <c r="AI33" s="5"/>
      <c r="AJ33" s="5"/>
      <c r="AK33" s="83"/>
      <c r="AL33" s="5"/>
      <c r="AM33" s="5"/>
      <c r="AN33" s="121"/>
      <c r="AO33" s="83">
        <f>S33*G33/1000</f>
        <v>1564.3330112294079</v>
      </c>
      <c r="AP33" s="132"/>
      <c r="AQ33" s="5"/>
      <c r="AR33" s="5"/>
      <c r="AS33" s="5"/>
      <c r="AT33" s="5"/>
      <c r="AU33" s="5"/>
      <c r="AV33" s="5"/>
      <c r="AW33" s="5"/>
      <c r="AX33" s="5"/>
      <c r="AY33" s="5"/>
      <c r="AZ33" s="5"/>
      <c r="BA33" s="83">
        <f t="shared" si="4"/>
        <v>1564.3330112294079</v>
      </c>
      <c r="BB33" s="5"/>
      <c r="BC33" s="84" t="s">
        <v>793</v>
      </c>
      <c r="BD33" s="84" t="s">
        <v>1162</v>
      </c>
      <c r="BE33" s="84" t="s">
        <v>826</v>
      </c>
      <c r="BF33" s="84" t="s">
        <v>1137</v>
      </c>
    </row>
    <row r="34" spans="2:58" ht="87" customHeight="1" thickBot="1">
      <c r="B34" s="58">
        <v>1</v>
      </c>
      <c r="C34" s="57" t="s">
        <v>1133</v>
      </c>
      <c r="D34" s="111" t="s">
        <v>1138</v>
      </c>
      <c r="E34" s="80" t="s">
        <v>1165</v>
      </c>
      <c r="F34" s="5"/>
      <c r="G34" s="81">
        <f>'4.4. ANEXOS IPPU'!C55</f>
        <v>769.18400000000031</v>
      </c>
      <c r="H34" s="57" t="s">
        <v>1054</v>
      </c>
      <c r="I34" s="57" t="s">
        <v>1151</v>
      </c>
      <c r="J34" s="5"/>
      <c r="K34" s="81"/>
      <c r="L34" s="5"/>
      <c r="M34" s="5"/>
      <c r="N34" s="5"/>
      <c r="O34" s="81">
        <f>'1.3. Factores de emisión'!E178</f>
        <v>1810</v>
      </c>
      <c r="P34" s="5"/>
      <c r="Q34" s="5"/>
      <c r="R34" s="81"/>
      <c r="S34" s="81"/>
      <c r="T34" s="81"/>
      <c r="U34" s="5"/>
      <c r="V34" s="5"/>
      <c r="W34" s="5"/>
      <c r="X34" s="5"/>
      <c r="Y34" s="5"/>
      <c r="Z34" s="5"/>
      <c r="AA34" s="5"/>
      <c r="AB34" s="5"/>
      <c r="AC34" s="5"/>
      <c r="AD34" s="5"/>
      <c r="AE34" s="5"/>
      <c r="AF34" s="5"/>
      <c r="AG34" s="5"/>
      <c r="AH34" s="5"/>
      <c r="AI34" s="5"/>
      <c r="AJ34" s="5"/>
      <c r="AK34" s="83">
        <f>O34*G34/1000</f>
        <v>1392.2230400000005</v>
      </c>
      <c r="AL34" s="5"/>
      <c r="AM34" s="5"/>
      <c r="AN34" s="121"/>
      <c r="AO34" s="83"/>
      <c r="AP34" s="132"/>
      <c r="AQ34" s="5"/>
      <c r="AR34" s="5"/>
      <c r="AS34" s="5"/>
      <c r="AT34" s="5"/>
      <c r="AU34" s="5"/>
      <c r="AV34" s="5"/>
      <c r="AW34" s="5"/>
      <c r="AX34" s="5"/>
      <c r="AY34" s="5"/>
      <c r="AZ34" s="5"/>
      <c r="BA34" s="83">
        <f t="shared" si="4"/>
        <v>1392.2230400000005</v>
      </c>
      <c r="BB34" s="5"/>
      <c r="BC34" s="84" t="s">
        <v>793</v>
      </c>
      <c r="BD34" s="84" t="s">
        <v>1162</v>
      </c>
      <c r="BE34" s="84" t="s">
        <v>826</v>
      </c>
      <c r="BF34" s="84" t="s">
        <v>1137</v>
      </c>
    </row>
    <row r="35" spans="2:58" ht="93.75" customHeight="1" thickBot="1">
      <c r="B35" s="58">
        <v>1</v>
      </c>
      <c r="C35" s="57" t="s">
        <v>1133</v>
      </c>
      <c r="D35" s="111" t="s">
        <v>1138</v>
      </c>
      <c r="E35" s="80" t="s">
        <v>1166</v>
      </c>
      <c r="F35" s="5"/>
      <c r="G35" s="81">
        <f>'4.4. ANEXOS IPPU'!C56</f>
        <v>66.441142857142864</v>
      </c>
      <c r="H35" s="57" t="s">
        <v>1054</v>
      </c>
      <c r="I35" s="57" t="s">
        <v>1151</v>
      </c>
      <c r="J35" s="5"/>
      <c r="K35" s="81"/>
      <c r="L35" s="5"/>
      <c r="M35" s="5"/>
      <c r="N35" s="5"/>
      <c r="O35" s="81"/>
      <c r="P35" s="5"/>
      <c r="R35" s="81"/>
      <c r="S35" s="81"/>
      <c r="T35" s="81"/>
      <c r="U35" s="5"/>
      <c r="V35" s="5"/>
      <c r="W35" s="5">
        <f>'1.3. Factores de emisión'!E166</f>
        <v>10900</v>
      </c>
      <c r="X35" s="5"/>
      <c r="Y35" s="5"/>
      <c r="Z35" s="5"/>
      <c r="AA35" s="5"/>
      <c r="AB35" s="5"/>
      <c r="AC35" s="5"/>
      <c r="AD35" s="5"/>
      <c r="AE35" s="5"/>
      <c r="AF35" s="5"/>
      <c r="AG35" s="5"/>
      <c r="AH35" s="5"/>
      <c r="AI35" s="5"/>
      <c r="AJ35" s="5"/>
      <c r="AK35" s="83"/>
      <c r="AL35" s="5"/>
      <c r="AN35" s="121"/>
      <c r="AO35" s="83"/>
      <c r="AP35" s="132"/>
      <c r="AQ35" s="5"/>
      <c r="AR35" s="5"/>
      <c r="AS35" s="83">
        <f>W35*G35/1000</f>
        <v>724.20845714285724</v>
      </c>
      <c r="AT35" s="5"/>
      <c r="AU35" s="5"/>
      <c r="AV35" s="5"/>
      <c r="AW35" s="5"/>
      <c r="AX35" s="5"/>
      <c r="AY35" s="5"/>
      <c r="AZ35" s="5"/>
      <c r="BA35" s="83">
        <f t="shared" si="4"/>
        <v>724.20845714285724</v>
      </c>
      <c r="BB35" s="5"/>
      <c r="BC35" s="84" t="s">
        <v>793</v>
      </c>
      <c r="BD35" s="84" t="s">
        <v>1162</v>
      </c>
      <c r="BE35" s="84" t="s">
        <v>826</v>
      </c>
      <c r="BF35" s="84" t="s">
        <v>1137</v>
      </c>
    </row>
    <row r="36" spans="2:58" ht="116.25" customHeight="1" thickBot="1">
      <c r="B36" s="58">
        <v>1</v>
      </c>
      <c r="C36" s="57" t="s">
        <v>1133</v>
      </c>
      <c r="D36" s="111" t="s">
        <v>1138</v>
      </c>
      <c r="E36" s="80" t="s">
        <v>1167</v>
      </c>
      <c r="F36" s="5"/>
      <c r="G36" s="81">
        <f>'4.4. ANEXOS IPPU'!F137</f>
        <v>27.591836734693874</v>
      </c>
      <c r="H36" s="57" t="s">
        <v>1054</v>
      </c>
      <c r="I36" s="57" t="s">
        <v>1140</v>
      </c>
      <c r="J36" s="5"/>
      <c r="K36" s="81"/>
      <c r="L36" s="5"/>
      <c r="M36" s="5"/>
      <c r="N36" s="5"/>
      <c r="O36" s="81"/>
      <c r="P36" s="5"/>
      <c r="Q36" s="5"/>
      <c r="R36" s="81">
        <f>'4.4. ANEXOS IPPU'!G137</f>
        <v>0.25</v>
      </c>
      <c r="S36" s="81"/>
      <c r="T36" s="81"/>
      <c r="U36" s="5"/>
      <c r="V36" s="5"/>
      <c r="W36" s="81"/>
      <c r="X36" s="5"/>
      <c r="Y36" s="5"/>
      <c r="Z36" s="5"/>
      <c r="AA36" s="5"/>
      <c r="AB36" s="5"/>
      <c r="AC36" s="5"/>
      <c r="AD36" s="5"/>
      <c r="AE36" s="5"/>
      <c r="AF36" s="5"/>
      <c r="AG36" s="5"/>
      <c r="AH36" s="5"/>
      <c r="AI36" s="5"/>
      <c r="AJ36" s="5"/>
      <c r="AK36" s="83"/>
      <c r="AL36" s="5"/>
      <c r="AM36" s="83"/>
      <c r="AN36" s="83">
        <f>R36*G36*'1.3. Factores de emisión'!E192/1000</f>
        <v>8.967346938775508</v>
      </c>
      <c r="AO36" s="83"/>
      <c r="AP36" s="132"/>
      <c r="AQ36" s="5"/>
      <c r="AR36" s="5"/>
      <c r="AS36" s="5"/>
      <c r="AT36" s="5"/>
      <c r="AU36" s="5"/>
      <c r="AV36" s="5"/>
      <c r="AW36" s="5"/>
      <c r="AX36" s="5"/>
      <c r="AY36" s="5"/>
      <c r="AZ36" s="5"/>
      <c r="BA36" s="83">
        <f t="shared" si="4"/>
        <v>8.967346938775508</v>
      </c>
      <c r="BB36" s="5"/>
      <c r="BC36" s="84" t="s">
        <v>915</v>
      </c>
      <c r="BD36" s="84" t="s">
        <v>1168</v>
      </c>
      <c r="BE36" s="84" t="s">
        <v>826</v>
      </c>
      <c r="BF36" s="84" t="s">
        <v>1142</v>
      </c>
    </row>
    <row r="37" spans="2:58" ht="117.75" customHeight="1" thickBot="1">
      <c r="B37" s="58">
        <v>1</v>
      </c>
      <c r="C37" s="57" t="s">
        <v>1133</v>
      </c>
      <c r="D37" s="111" t="s">
        <v>1138</v>
      </c>
      <c r="E37" s="80" t="s">
        <v>1169</v>
      </c>
      <c r="F37" s="5"/>
      <c r="G37" s="81">
        <f>'4.4. ANEXOS IPPU'!F138</f>
        <v>45.986394557823125</v>
      </c>
      <c r="H37" s="57" t="s">
        <v>1054</v>
      </c>
      <c r="I37" s="57" t="s">
        <v>1140</v>
      </c>
      <c r="J37" s="5"/>
      <c r="K37" s="81"/>
      <c r="L37" s="5"/>
      <c r="M37" s="5"/>
      <c r="N37" s="5"/>
      <c r="O37" s="81"/>
      <c r="P37" s="5"/>
      <c r="Q37" s="81">
        <f>'4.4. ANEXOS IPPU'!G138</f>
        <v>0.25</v>
      </c>
      <c r="R37" s="81"/>
      <c r="S37" s="81"/>
      <c r="T37" s="81"/>
      <c r="U37" s="5"/>
      <c r="V37" s="5"/>
      <c r="W37" s="81"/>
      <c r="X37" s="5"/>
      <c r="Y37" s="5"/>
      <c r="Z37" s="5"/>
      <c r="AA37" s="5"/>
      <c r="AB37" s="5"/>
      <c r="AC37" s="5"/>
      <c r="AD37" s="5"/>
      <c r="AE37" s="5"/>
      <c r="AF37" s="5"/>
      <c r="AG37" s="5"/>
      <c r="AH37" s="5"/>
      <c r="AI37" s="5"/>
      <c r="AJ37" s="5"/>
      <c r="AK37" s="83"/>
      <c r="AL37" s="5"/>
      <c r="AM37" s="83">
        <f>Q37*G37*'1.3. Factores de emisión'!E269/1000</f>
        <v>37.478911564625854</v>
      </c>
      <c r="AN37" s="121"/>
      <c r="AO37" s="83"/>
      <c r="AP37" s="132"/>
      <c r="AQ37" s="5"/>
      <c r="AR37" s="5"/>
      <c r="AS37" s="5"/>
      <c r="AT37" s="5"/>
      <c r="AU37" s="5"/>
      <c r="AV37" s="5"/>
      <c r="AW37" s="5"/>
      <c r="AX37" s="5"/>
      <c r="AY37" s="5"/>
      <c r="AZ37" s="5"/>
      <c r="BA37" s="83">
        <f t="shared" si="4"/>
        <v>37.478911564625854</v>
      </c>
      <c r="BB37" s="5"/>
      <c r="BC37" s="84" t="s">
        <v>915</v>
      </c>
      <c r="BD37" s="84" t="s">
        <v>1168</v>
      </c>
      <c r="BE37" s="84" t="s">
        <v>826</v>
      </c>
      <c r="BF37" s="84" t="s">
        <v>1142</v>
      </c>
    </row>
    <row r="38" spans="2:58" ht="119.25" customHeight="1" thickBot="1">
      <c r="B38" s="58">
        <v>1</v>
      </c>
      <c r="C38" s="57" t="s">
        <v>1133</v>
      </c>
      <c r="D38" s="111" t="s">
        <v>1138</v>
      </c>
      <c r="E38" s="80" t="s">
        <v>1170</v>
      </c>
      <c r="F38" s="5"/>
      <c r="G38" s="81">
        <f>'4.4. ANEXOS IPPU'!F139</f>
        <v>9.1972789115646254</v>
      </c>
      <c r="H38" s="57" t="s">
        <v>1054</v>
      </c>
      <c r="I38" s="57" t="s">
        <v>1140</v>
      </c>
      <c r="J38" s="5"/>
      <c r="K38" s="81"/>
      <c r="L38" s="5"/>
      <c r="M38" s="5"/>
      <c r="N38" s="5"/>
      <c r="O38" s="81"/>
      <c r="P38" s="81">
        <f>'4.4. ANEXOS IPPU'!G139</f>
        <v>0.25</v>
      </c>
      <c r="Q38" s="5"/>
      <c r="R38" s="81"/>
      <c r="S38" s="81"/>
      <c r="T38" s="81"/>
      <c r="U38" s="5"/>
      <c r="V38" s="5"/>
      <c r="W38" s="81"/>
      <c r="X38" s="5"/>
      <c r="Y38" s="5"/>
      <c r="Z38" s="5"/>
      <c r="AA38" s="5"/>
      <c r="AB38" s="5"/>
      <c r="AC38" s="5"/>
      <c r="AD38" s="5"/>
      <c r="AE38" s="5"/>
      <c r="AF38" s="5"/>
      <c r="AG38" s="5"/>
      <c r="AH38" s="5"/>
      <c r="AI38" s="5"/>
      <c r="AJ38" s="5"/>
      <c r="AK38" s="83"/>
      <c r="AL38" s="83">
        <f>P38*G38*'1.3. Factores de emisión'!E271/1000</f>
        <v>3.5087619047619047</v>
      </c>
      <c r="AM38" s="83"/>
      <c r="AN38" s="121"/>
      <c r="AO38" s="83"/>
      <c r="AP38" s="132"/>
      <c r="AQ38" s="5"/>
      <c r="AR38" s="5"/>
      <c r="AS38" s="5"/>
      <c r="AT38" s="5"/>
      <c r="AU38" s="5"/>
      <c r="AV38" s="5"/>
      <c r="AW38" s="5"/>
      <c r="AX38" s="5"/>
      <c r="AY38" s="5"/>
      <c r="AZ38" s="5"/>
      <c r="BA38" s="83">
        <f t="shared" si="4"/>
        <v>3.5087619047619047</v>
      </c>
      <c r="BB38" s="5"/>
      <c r="BC38" s="84" t="s">
        <v>915</v>
      </c>
      <c r="BD38" s="84" t="s">
        <v>1168</v>
      </c>
      <c r="BE38" s="84" t="s">
        <v>826</v>
      </c>
      <c r="BF38" s="84" t="s">
        <v>1142</v>
      </c>
    </row>
    <row r="39" spans="2:58" ht="123.75" customHeight="1" thickBot="1">
      <c r="B39" s="58">
        <v>1</v>
      </c>
      <c r="C39" s="57" t="s">
        <v>1133</v>
      </c>
      <c r="D39" s="111" t="s">
        <v>1138</v>
      </c>
      <c r="E39" s="80" t="s">
        <v>1171</v>
      </c>
      <c r="F39" s="5"/>
      <c r="G39" s="81">
        <f>'4.4. ANEXOS IPPU'!F140</f>
        <v>9.1972789115646254</v>
      </c>
      <c r="H39" s="57" t="s">
        <v>1054</v>
      </c>
      <c r="I39" s="57" t="s">
        <v>1140</v>
      </c>
      <c r="J39" s="5"/>
      <c r="K39" s="81"/>
      <c r="L39" s="5"/>
      <c r="M39" s="5"/>
      <c r="N39" s="5"/>
      <c r="O39" s="81"/>
      <c r="P39" s="5"/>
      <c r="Q39" s="5"/>
      <c r="R39" s="81"/>
      <c r="S39" s="81">
        <f>'4.4. ANEXOS IPPU'!G140</f>
        <v>0.25</v>
      </c>
      <c r="T39" s="81"/>
      <c r="U39" s="5"/>
      <c r="V39" s="5"/>
      <c r="W39" s="81"/>
      <c r="X39" s="5"/>
      <c r="Y39" s="5"/>
      <c r="Z39" s="5"/>
      <c r="AA39" s="5"/>
      <c r="AB39" s="5"/>
      <c r="AC39" s="5"/>
      <c r="AD39" s="5"/>
      <c r="AE39" s="5"/>
      <c r="AF39" s="5"/>
      <c r="AG39" s="5"/>
      <c r="AH39" s="5"/>
      <c r="AI39" s="5"/>
      <c r="AJ39" s="5"/>
      <c r="AK39" s="83"/>
      <c r="AL39" s="5"/>
      <c r="AM39" s="83"/>
      <c r="AN39" s="121"/>
      <c r="AO39" s="83">
        <f>S39*G39*'1.3. Factores de emisión'!E274/1000</f>
        <v>3.9663265306122444</v>
      </c>
      <c r="AP39" s="132"/>
      <c r="AQ39" s="5"/>
      <c r="AR39" s="5"/>
      <c r="AS39" s="5"/>
      <c r="AT39" s="5"/>
      <c r="AU39" s="5"/>
      <c r="AV39" s="5"/>
      <c r="AW39" s="5"/>
      <c r="AX39" s="5"/>
      <c r="AY39" s="5"/>
      <c r="AZ39" s="5"/>
      <c r="BA39" s="83">
        <f t="shared" si="4"/>
        <v>3.9663265306122444</v>
      </c>
      <c r="BB39" s="5"/>
      <c r="BC39" s="84" t="s">
        <v>915</v>
      </c>
      <c r="BD39" s="84" t="s">
        <v>1168</v>
      </c>
      <c r="BE39" s="84" t="s">
        <v>826</v>
      </c>
      <c r="BF39" s="84" t="s">
        <v>1142</v>
      </c>
    </row>
    <row r="40" spans="2:58" ht="123.75" customHeight="1" thickBot="1">
      <c r="B40" s="58">
        <v>1</v>
      </c>
      <c r="C40" s="57" t="s">
        <v>1133</v>
      </c>
      <c r="D40" s="111" t="s">
        <v>1138</v>
      </c>
      <c r="E40" s="80" t="s">
        <v>1172</v>
      </c>
      <c r="F40" s="5"/>
      <c r="G40" s="81">
        <f>'4.4. ANEXOS IPPU'!F156</f>
        <v>294.0858514285714</v>
      </c>
      <c r="H40" s="57" t="s">
        <v>1054</v>
      </c>
      <c r="I40" s="57" t="s">
        <v>1140</v>
      </c>
      <c r="J40" s="5"/>
      <c r="K40" s="81"/>
      <c r="L40" s="5"/>
      <c r="M40" s="5"/>
      <c r="N40" s="5"/>
      <c r="O40" s="81"/>
      <c r="P40" s="5"/>
      <c r="Q40" s="5"/>
      <c r="R40" s="81">
        <f>'4.4. ANEXOS IPPU'!G156</f>
        <v>2.3899999999999998E-2</v>
      </c>
      <c r="S40" s="81"/>
      <c r="T40" s="81"/>
      <c r="U40" s="5"/>
      <c r="V40" s="5"/>
      <c r="W40" s="5"/>
      <c r="X40" s="5"/>
      <c r="Y40" s="5"/>
      <c r="Z40" s="5"/>
      <c r="AA40" s="5"/>
      <c r="AB40" s="5"/>
      <c r="AC40" s="5"/>
      <c r="AD40" s="5"/>
      <c r="AE40" s="5"/>
      <c r="AF40" s="5"/>
      <c r="AG40" s="5"/>
      <c r="AH40" s="5"/>
      <c r="AI40" s="5"/>
      <c r="AJ40" s="5"/>
      <c r="AK40" s="83"/>
      <c r="AL40" s="5"/>
      <c r="AM40" s="5"/>
      <c r="AN40" s="83">
        <f>R40*G40*'1.3. Factores de emisión'!E192/1000</f>
        <v>9.1372474038857128</v>
      </c>
      <c r="AO40" s="83"/>
      <c r="AP40" s="132"/>
      <c r="AQ40" s="5"/>
      <c r="AR40" s="5"/>
      <c r="AS40" s="5"/>
      <c r="AT40" s="5"/>
      <c r="AU40" s="5"/>
      <c r="AV40" s="5"/>
      <c r="AW40" s="5"/>
      <c r="AX40" s="5"/>
      <c r="AY40" s="5"/>
      <c r="AZ40" s="5"/>
      <c r="BA40" s="83">
        <f t="shared" si="4"/>
        <v>9.1372474038857128</v>
      </c>
      <c r="BB40" s="5"/>
      <c r="BC40" s="84" t="s">
        <v>915</v>
      </c>
      <c r="BD40" s="84" t="s">
        <v>1168</v>
      </c>
      <c r="BE40" s="84" t="s">
        <v>826</v>
      </c>
      <c r="BF40" s="84" t="s">
        <v>1142</v>
      </c>
    </row>
    <row r="41" spans="2:58" ht="125.25" customHeight="1" thickBot="1">
      <c r="B41" s="58">
        <v>1</v>
      </c>
      <c r="C41" s="57" t="s">
        <v>1133</v>
      </c>
      <c r="D41" s="111" t="s">
        <v>1138</v>
      </c>
      <c r="E41" s="80" t="s">
        <v>1173</v>
      </c>
      <c r="F41" s="5"/>
      <c r="G41" s="81">
        <f>'4.4. ANEXOS IPPU'!F157</f>
        <v>32.676205714285715</v>
      </c>
      <c r="H41" s="57" t="s">
        <v>1054</v>
      </c>
      <c r="I41" s="57" t="s">
        <v>1140</v>
      </c>
      <c r="J41" s="5"/>
      <c r="K41" s="81"/>
      <c r="L41" s="5"/>
      <c r="M41" s="5"/>
      <c r="N41" s="5"/>
      <c r="O41" s="5"/>
      <c r="P41" s="5"/>
      <c r="Q41" s="5"/>
      <c r="R41" s="81"/>
      <c r="S41" s="81"/>
      <c r="T41" s="81"/>
      <c r="U41" s="5"/>
      <c r="V41" s="5"/>
      <c r="W41" s="81">
        <f>'4.4. ANEXOS IPPU'!G157</f>
        <v>2.3899999999999998E-2</v>
      </c>
      <c r="X41" s="5"/>
      <c r="Y41" s="5"/>
      <c r="Z41" s="5"/>
      <c r="AA41" s="5"/>
      <c r="AB41" s="5"/>
      <c r="AC41" s="5"/>
      <c r="AD41" s="5"/>
      <c r="AE41" s="5"/>
      <c r="AF41" s="5"/>
      <c r="AG41" s="121"/>
      <c r="AH41" s="5"/>
      <c r="AI41" s="5"/>
      <c r="AJ41" s="5"/>
      <c r="AK41" s="5"/>
      <c r="AL41" s="5"/>
      <c r="AM41" s="5"/>
      <c r="AN41" s="121"/>
      <c r="AO41" s="83"/>
      <c r="AP41" s="132"/>
      <c r="AQ41" s="5"/>
      <c r="AR41" s="5"/>
      <c r="AS41" s="83">
        <f>W41*G40*'1.3. Factores de emisión'!E166/1000</f>
        <v>76.612305155657126</v>
      </c>
      <c r="AT41" s="5"/>
      <c r="AU41" s="5"/>
      <c r="AV41" s="5"/>
      <c r="AW41" s="5"/>
      <c r="AX41" s="5"/>
      <c r="AY41" s="5"/>
      <c r="AZ41" s="5"/>
      <c r="BA41" s="83">
        <f t="shared" si="4"/>
        <v>76.612305155657126</v>
      </c>
      <c r="BB41" s="5"/>
      <c r="BC41" s="84" t="s">
        <v>915</v>
      </c>
      <c r="BD41" s="84" t="s">
        <v>1168</v>
      </c>
      <c r="BE41" s="84" t="s">
        <v>826</v>
      </c>
      <c r="BF41" s="84" t="s">
        <v>1142</v>
      </c>
    </row>
    <row r="42" spans="2:58" ht="81.75" customHeight="1" thickBot="1">
      <c r="B42" s="58">
        <v>1</v>
      </c>
      <c r="C42" s="57" t="s">
        <v>1133</v>
      </c>
      <c r="D42" s="111" t="s">
        <v>1149</v>
      </c>
      <c r="E42" s="80" t="s">
        <v>1174</v>
      </c>
      <c r="F42" s="5"/>
      <c r="G42" s="81">
        <f>'4.4. ANEXOS IPPU'!D13</f>
        <v>2305.9614054133513</v>
      </c>
      <c r="H42" s="5" t="s">
        <v>1054</v>
      </c>
      <c r="I42" s="57" t="s">
        <v>1151</v>
      </c>
      <c r="J42" s="5"/>
      <c r="K42" s="81">
        <v>1</v>
      </c>
      <c r="L42" s="5"/>
      <c r="M42" s="5"/>
      <c r="N42" s="5"/>
      <c r="O42" s="5"/>
      <c r="P42" s="5"/>
      <c r="Q42" s="5"/>
      <c r="R42" s="81"/>
      <c r="S42" s="81"/>
      <c r="T42" s="81"/>
      <c r="U42" s="5"/>
      <c r="V42" s="5"/>
      <c r="W42" s="81"/>
      <c r="X42" s="5"/>
      <c r="Y42" s="5"/>
      <c r="Z42" s="5"/>
      <c r="AA42" s="5"/>
      <c r="AB42" s="5"/>
      <c r="AC42" s="5"/>
      <c r="AD42" s="5"/>
      <c r="AE42" s="5"/>
      <c r="AF42" s="5"/>
      <c r="AG42" s="83">
        <f>G42*K42*1/1000</f>
        <v>2.3059614054133513</v>
      </c>
      <c r="AH42" s="5"/>
      <c r="AI42" s="5"/>
      <c r="AJ42" s="5"/>
      <c r="AK42" s="5"/>
      <c r="AL42" s="5"/>
      <c r="AM42" s="5"/>
      <c r="AN42" s="121"/>
      <c r="AO42" s="83"/>
      <c r="AP42" s="132"/>
      <c r="AQ42" s="5"/>
      <c r="AR42" s="5"/>
      <c r="AS42" s="83"/>
      <c r="AT42" s="5"/>
      <c r="AU42" s="5"/>
      <c r="AV42" s="5"/>
      <c r="AW42" s="5"/>
      <c r="AX42" s="5"/>
      <c r="AY42" s="5"/>
      <c r="AZ42" s="5"/>
      <c r="BA42" s="83">
        <f t="shared" si="4"/>
        <v>2.3059614054133513</v>
      </c>
      <c r="BB42" s="5"/>
      <c r="BC42" s="84" t="s">
        <v>793</v>
      </c>
      <c r="BD42" s="84" t="s">
        <v>1175</v>
      </c>
      <c r="BE42" s="84" t="s">
        <v>946</v>
      </c>
      <c r="BF42" s="84" t="s">
        <v>1137</v>
      </c>
    </row>
    <row r="43" spans="2:58" ht="102.75" customHeight="1" thickBot="1">
      <c r="B43" s="58">
        <v>1</v>
      </c>
      <c r="C43" s="57" t="s">
        <v>1133</v>
      </c>
      <c r="D43" s="111" t="s">
        <v>1134</v>
      </c>
      <c r="E43" s="80" t="s">
        <v>1176</v>
      </c>
      <c r="F43" s="5"/>
      <c r="G43" s="81">
        <f>'4.4. ANEXOS IPPU'!C242</f>
        <v>133833.54071421313</v>
      </c>
      <c r="H43" s="5" t="s">
        <v>792</v>
      </c>
      <c r="I43" s="5" t="s">
        <v>335</v>
      </c>
      <c r="J43" s="5"/>
      <c r="K43" s="5">
        <f>'1.3. Factores de emisión'!F64</f>
        <v>0.51839999999999997</v>
      </c>
      <c r="L43" s="5"/>
      <c r="M43" s="5"/>
      <c r="N43" s="5"/>
      <c r="O43" s="5"/>
      <c r="P43" s="5"/>
      <c r="Q43" s="5"/>
      <c r="R43" s="81"/>
      <c r="S43" s="81"/>
      <c r="T43" s="81"/>
      <c r="U43" s="5"/>
      <c r="V43" s="5"/>
      <c r="W43" s="81"/>
      <c r="X43" s="5"/>
      <c r="Y43" s="5"/>
      <c r="Z43" s="5"/>
      <c r="AA43" s="5"/>
      <c r="AB43" s="5"/>
      <c r="AC43" s="5"/>
      <c r="AD43" s="5"/>
      <c r="AE43" s="5"/>
      <c r="AF43" s="5"/>
      <c r="AG43" s="121">
        <f>G43*K43*1/1000</f>
        <v>69.379307506248082</v>
      </c>
      <c r="AH43" s="5"/>
      <c r="AI43" s="5"/>
      <c r="AJ43" s="5"/>
      <c r="AK43" s="5"/>
      <c r="AL43" s="5"/>
      <c r="AM43" s="5"/>
      <c r="AN43" s="121"/>
      <c r="AO43" s="83"/>
      <c r="AP43" s="132"/>
      <c r="AQ43" s="5"/>
      <c r="AR43" s="5"/>
      <c r="AS43" s="83"/>
      <c r="AT43" s="5"/>
      <c r="AU43" s="5"/>
      <c r="AV43" s="5"/>
      <c r="AW43" s="5"/>
      <c r="AX43" s="5"/>
      <c r="AY43" s="5"/>
      <c r="AZ43" s="5"/>
      <c r="BA43" s="83">
        <f t="shared" si="4"/>
        <v>69.379307506248082</v>
      </c>
      <c r="BB43" s="5"/>
      <c r="BC43" s="84" t="s">
        <v>793</v>
      </c>
      <c r="BD43" s="84" t="s">
        <v>1177</v>
      </c>
      <c r="BE43" s="84" t="s">
        <v>946</v>
      </c>
      <c r="BF43" s="84" t="s">
        <v>1137</v>
      </c>
    </row>
    <row r="44" spans="2:58" ht="84.75" customHeight="1" thickBot="1">
      <c r="B44" s="58">
        <v>1</v>
      </c>
      <c r="C44" s="57" t="s">
        <v>1133</v>
      </c>
      <c r="D44" s="80" t="s">
        <v>1178</v>
      </c>
      <c r="E44" s="80" t="s">
        <v>1179</v>
      </c>
      <c r="F44" s="5"/>
      <c r="G44" s="81">
        <f>'4.4. ANEXOS IPPU'!C245</f>
        <v>18183.565179033121</v>
      </c>
      <c r="H44" s="5" t="s">
        <v>1054</v>
      </c>
      <c r="I44" s="57" t="s">
        <v>1151</v>
      </c>
      <c r="J44" s="5"/>
      <c r="K44" s="81">
        <v>1</v>
      </c>
      <c r="L44" s="5"/>
      <c r="M44" s="5"/>
      <c r="N44" s="5"/>
      <c r="O44" s="5"/>
      <c r="P44" s="5"/>
      <c r="Q44" s="5"/>
      <c r="R44" s="81"/>
      <c r="S44" s="81"/>
      <c r="T44" s="81"/>
      <c r="U44" s="5"/>
      <c r="V44" s="5"/>
      <c r="W44" s="81"/>
      <c r="X44" s="5"/>
      <c r="Y44" s="5"/>
      <c r="Z44" s="5"/>
      <c r="AA44" s="5"/>
      <c r="AB44" s="5"/>
      <c r="AC44" s="5"/>
      <c r="AD44" s="5"/>
      <c r="AE44" s="5"/>
      <c r="AF44" s="5"/>
      <c r="AG44" s="121">
        <f>K44*G44*1/1000</f>
        <v>18.183565179033121</v>
      </c>
      <c r="AH44" s="5"/>
      <c r="AI44" s="5"/>
      <c r="AJ44" s="5"/>
      <c r="AK44" s="5"/>
      <c r="AL44" s="5"/>
      <c r="AM44" s="5"/>
      <c r="AN44" s="121"/>
      <c r="AO44" s="83"/>
      <c r="AP44" s="132"/>
      <c r="AQ44" s="5"/>
      <c r="AR44" s="5"/>
      <c r="AS44" s="83"/>
      <c r="AT44" s="5"/>
      <c r="AU44" s="5"/>
      <c r="AV44" s="5"/>
      <c r="AW44" s="5"/>
      <c r="AX44" s="5"/>
      <c r="AY44" s="5"/>
      <c r="AZ44" s="5"/>
      <c r="BA44" s="83">
        <f t="shared" si="4"/>
        <v>18.183565179033121</v>
      </c>
      <c r="BB44" s="5"/>
      <c r="BC44" s="84" t="s">
        <v>793</v>
      </c>
      <c r="BD44" s="84" t="s">
        <v>1180</v>
      </c>
      <c r="BE44" s="84" t="s">
        <v>946</v>
      </c>
      <c r="BF44" s="84" t="s">
        <v>1137</v>
      </c>
    </row>
    <row r="45" spans="2:58" ht="78.75" customHeight="1" thickBot="1">
      <c r="B45" s="58">
        <v>1</v>
      </c>
      <c r="C45" s="57" t="s">
        <v>1133</v>
      </c>
      <c r="D45" s="80" t="s">
        <v>1181</v>
      </c>
      <c r="E45" s="80" t="s">
        <v>1182</v>
      </c>
      <c r="F45" s="5"/>
      <c r="G45" s="81">
        <f>'4.4. ANEXOS IPPU'!C248</f>
        <v>7029.72</v>
      </c>
      <c r="H45" s="5" t="s">
        <v>1054</v>
      </c>
      <c r="I45" s="57" t="s">
        <v>1151</v>
      </c>
      <c r="J45" s="5"/>
      <c r="K45" s="81"/>
      <c r="L45" s="5"/>
      <c r="M45" s="5"/>
      <c r="N45" s="5"/>
      <c r="O45" s="5"/>
      <c r="P45" s="5"/>
      <c r="Q45" s="5"/>
      <c r="R45" s="81"/>
      <c r="S45" s="81"/>
      <c r="T45" s="81"/>
      <c r="U45" s="5"/>
      <c r="V45" s="5"/>
      <c r="W45" s="81"/>
      <c r="X45" s="5"/>
      <c r="Y45" s="5"/>
      <c r="Z45" s="5"/>
      <c r="AA45" s="5">
        <f>'1.3. Factores de emisión'!E207</f>
        <v>23900</v>
      </c>
      <c r="AB45" s="5"/>
      <c r="AC45" s="5"/>
      <c r="AD45" s="5"/>
      <c r="AE45" s="5"/>
      <c r="AF45" s="5"/>
      <c r="AG45" s="121"/>
      <c r="AH45" s="5"/>
      <c r="AI45" s="5"/>
      <c r="AJ45" s="5"/>
      <c r="AK45" s="5"/>
      <c r="AL45" s="5"/>
      <c r="AM45" s="5"/>
      <c r="AN45" s="121"/>
      <c r="AO45" s="83"/>
      <c r="AP45" s="132"/>
      <c r="AQ45" s="5"/>
      <c r="AR45" s="5"/>
      <c r="AS45" s="83"/>
      <c r="AT45" s="5"/>
      <c r="AU45" s="5"/>
      <c r="AV45" s="5"/>
      <c r="AW45" s="138">
        <f>AA45*G45/1000</f>
        <v>168010.30799999999</v>
      </c>
      <c r="AX45" s="138"/>
      <c r="AY45" s="138"/>
      <c r="AZ45" s="138"/>
      <c r="BA45" s="138">
        <f t="shared" si="4"/>
        <v>168010.30799999999</v>
      </c>
      <c r="BB45" s="5"/>
      <c r="BC45" s="84" t="s">
        <v>793</v>
      </c>
      <c r="BD45" s="84" t="s">
        <v>1183</v>
      </c>
      <c r="BE45" s="84" t="s">
        <v>946</v>
      </c>
      <c r="BF45" s="84" t="s">
        <v>1137</v>
      </c>
    </row>
    <row r="46" spans="2:58" ht="130.5" customHeight="1" thickBot="1">
      <c r="B46" s="58">
        <v>1</v>
      </c>
      <c r="C46" s="57" t="s">
        <v>1133</v>
      </c>
      <c r="D46" s="111" t="s">
        <v>1138</v>
      </c>
      <c r="E46" s="80" t="s">
        <v>1184</v>
      </c>
      <c r="F46" s="5"/>
      <c r="G46" s="81">
        <f>'4.4. ANEXOS IPPU'!F69</f>
        <v>60.190939285714279</v>
      </c>
      <c r="H46" s="57" t="s">
        <v>1054</v>
      </c>
      <c r="I46" s="57" t="s">
        <v>1140</v>
      </c>
      <c r="J46" s="5"/>
      <c r="K46" s="81"/>
      <c r="L46" s="5"/>
      <c r="M46" s="81">
        <f>'4.4. ANEXOS IPPU'!G69</f>
        <v>0.1</v>
      </c>
      <c r="N46" s="5"/>
      <c r="O46" s="5"/>
      <c r="P46" s="5"/>
      <c r="Q46" s="5"/>
      <c r="R46" s="81"/>
      <c r="S46" s="81"/>
      <c r="T46" s="81"/>
      <c r="U46" s="5"/>
      <c r="V46" s="5"/>
      <c r="W46" s="81"/>
      <c r="X46" s="5"/>
      <c r="Y46" s="5"/>
      <c r="Z46" s="5"/>
      <c r="AA46" s="5"/>
      <c r="AB46" s="5"/>
      <c r="AC46" s="5"/>
      <c r="AD46" s="5"/>
      <c r="AE46" s="5"/>
      <c r="AF46" s="5"/>
      <c r="AG46" s="121"/>
      <c r="AH46" s="5"/>
      <c r="AI46" s="121">
        <f>M46*G46*'1.3. Factores de emisión'!E179/1000</f>
        <v>0.46347023250000002</v>
      </c>
      <c r="AJ46" s="5"/>
      <c r="AK46" s="5"/>
      <c r="AL46" s="5"/>
      <c r="AM46" s="5"/>
      <c r="AN46" s="121"/>
      <c r="AO46" s="83"/>
      <c r="AP46" s="132"/>
      <c r="AQ46" s="5"/>
      <c r="AR46" s="5"/>
      <c r="AS46" s="83"/>
      <c r="AT46" s="5"/>
      <c r="AU46" s="5"/>
      <c r="AV46" s="5"/>
      <c r="AW46" s="81"/>
      <c r="AX46" s="5"/>
      <c r="AY46" s="5"/>
      <c r="AZ46" s="5"/>
      <c r="BA46" s="113">
        <f t="shared" si="4"/>
        <v>0.46347023250000002</v>
      </c>
      <c r="BB46" s="5"/>
      <c r="BC46" s="84" t="s">
        <v>915</v>
      </c>
      <c r="BD46" s="84" t="s">
        <v>1185</v>
      </c>
      <c r="BE46" s="84" t="s">
        <v>946</v>
      </c>
      <c r="BF46" s="84" t="s">
        <v>1142</v>
      </c>
    </row>
    <row r="47" spans="2:58" ht="123.75" customHeight="1" thickBot="1">
      <c r="B47" s="58">
        <v>1</v>
      </c>
      <c r="C47" s="57" t="s">
        <v>1133</v>
      </c>
      <c r="D47" s="111" t="s">
        <v>1138</v>
      </c>
      <c r="E47" s="80" t="s">
        <v>1186</v>
      </c>
      <c r="F47" s="5"/>
      <c r="G47" s="81">
        <f>'4.4. ANEXOS IPPU'!F70</f>
        <v>401.27292857142857</v>
      </c>
      <c r="H47" s="57" t="s">
        <v>1054</v>
      </c>
      <c r="I47" s="57" t="s">
        <v>1140</v>
      </c>
      <c r="J47" s="5"/>
      <c r="K47" s="81"/>
      <c r="L47" s="5"/>
      <c r="M47" s="5"/>
      <c r="N47" s="5"/>
      <c r="O47" s="5"/>
      <c r="P47" s="5"/>
      <c r="Q47" s="5"/>
      <c r="R47" s="81">
        <f>'4.4. ANEXOS IPPU'!G70</f>
        <v>0.1</v>
      </c>
      <c r="S47" s="81"/>
      <c r="T47" s="81"/>
      <c r="U47" s="5"/>
      <c r="V47" s="5"/>
      <c r="W47" s="81"/>
      <c r="X47" s="5"/>
      <c r="Y47" s="5"/>
      <c r="Z47" s="5"/>
      <c r="AA47" s="5"/>
      <c r="AB47" s="5"/>
      <c r="AC47" s="5"/>
      <c r="AD47" s="5"/>
      <c r="AE47" s="5"/>
      <c r="AF47" s="5"/>
      <c r="AG47" s="121"/>
      <c r="AH47" s="5"/>
      <c r="AI47" s="5"/>
      <c r="AJ47" s="5"/>
      <c r="AK47" s="5"/>
      <c r="AL47" s="5"/>
      <c r="AM47" s="5"/>
      <c r="AN47" s="83">
        <f>R47*G47*'1.3. Factores de emisión'!E192/1000</f>
        <v>52.165480714285721</v>
      </c>
      <c r="AO47" s="83"/>
      <c r="AP47" s="83"/>
      <c r="AQ47" s="83"/>
      <c r="AR47" s="83"/>
      <c r="AS47" s="83"/>
      <c r="AT47" s="83"/>
      <c r="AU47" s="83"/>
      <c r="AV47" s="83"/>
      <c r="AW47" s="83"/>
      <c r="AX47" s="83"/>
      <c r="AY47" s="83"/>
      <c r="AZ47" s="83"/>
      <c r="BA47" s="83">
        <f t="shared" si="4"/>
        <v>52.165480714285721</v>
      </c>
      <c r="BB47" s="5"/>
      <c r="BC47" s="84" t="s">
        <v>915</v>
      </c>
      <c r="BD47" s="84" t="s">
        <v>1185</v>
      </c>
      <c r="BE47" s="84" t="s">
        <v>946</v>
      </c>
      <c r="BF47" s="84" t="s">
        <v>1142</v>
      </c>
    </row>
    <row r="48" spans="2:58" ht="118.5" customHeight="1" thickBot="1">
      <c r="B48" s="58">
        <v>1</v>
      </c>
      <c r="C48" s="57" t="s">
        <v>1133</v>
      </c>
      <c r="D48" s="111" t="s">
        <v>1138</v>
      </c>
      <c r="E48" s="80" t="s">
        <v>1187</v>
      </c>
      <c r="F48" s="5"/>
      <c r="G48" s="81">
        <f>'4.4. ANEXOS IPPU'!F71</f>
        <v>341.08198928571426</v>
      </c>
      <c r="H48" s="57" t="s">
        <v>1054</v>
      </c>
      <c r="I48" s="57" t="s">
        <v>1140</v>
      </c>
      <c r="J48" s="5"/>
      <c r="K48" s="81"/>
      <c r="L48" s="5"/>
      <c r="M48" s="5"/>
      <c r="N48" s="5"/>
      <c r="O48" s="81">
        <f>'4.4. ANEXOS IPPU'!G71</f>
        <v>0.1</v>
      </c>
      <c r="P48" s="5"/>
      <c r="Q48" s="5"/>
      <c r="R48" s="81"/>
      <c r="S48" s="81"/>
      <c r="T48" s="81"/>
      <c r="U48" s="5"/>
      <c r="V48" s="5"/>
      <c r="W48" s="81"/>
      <c r="X48" s="5"/>
      <c r="Y48" s="5"/>
      <c r="Z48" s="5"/>
      <c r="AA48" s="5"/>
      <c r="AB48" s="5"/>
      <c r="AC48" s="5"/>
      <c r="AD48" s="5"/>
      <c r="AE48" s="5"/>
      <c r="AF48" s="5"/>
      <c r="AG48" s="121"/>
      <c r="AH48" s="5"/>
      <c r="AI48" s="5"/>
      <c r="AJ48" s="5"/>
      <c r="AK48" s="83">
        <f>G48*O48*'1.3. Factores de emisión'!E178/1000</f>
        <v>61.735840060714281</v>
      </c>
      <c r="AL48" s="83"/>
      <c r="AM48" s="83"/>
      <c r="AN48" s="83"/>
      <c r="AO48" s="83"/>
      <c r="AP48" s="83"/>
      <c r="AQ48" s="83"/>
      <c r="AR48" s="83"/>
      <c r="AS48" s="83"/>
      <c r="AT48" s="83"/>
      <c r="AU48" s="83"/>
      <c r="AV48" s="83"/>
      <c r="AW48" s="83"/>
      <c r="AX48" s="83"/>
      <c r="AY48" s="83"/>
      <c r="AZ48" s="83"/>
      <c r="BA48" s="83">
        <f t="shared" si="4"/>
        <v>61.735840060714281</v>
      </c>
      <c r="BB48" s="5"/>
      <c r="BC48" s="84" t="s">
        <v>915</v>
      </c>
      <c r="BD48" s="84" t="s">
        <v>1185</v>
      </c>
      <c r="BE48" s="84" t="s">
        <v>946</v>
      </c>
      <c r="BF48" s="84" t="s">
        <v>1142</v>
      </c>
    </row>
    <row r="49" spans="2:58" ht="123" customHeight="1" thickBot="1">
      <c r="B49" s="58">
        <v>1</v>
      </c>
      <c r="C49" s="57" t="s">
        <v>1133</v>
      </c>
      <c r="D49" s="111" t="s">
        <v>1138</v>
      </c>
      <c r="E49" s="80" t="s">
        <v>1188</v>
      </c>
      <c r="F49" s="5"/>
      <c r="G49" s="81">
        <f>'4.4. ANEXOS IPPU'!F72</f>
        <v>140.445525</v>
      </c>
      <c r="H49" s="57" t="s">
        <v>1054</v>
      </c>
      <c r="I49" s="57" t="s">
        <v>1140</v>
      </c>
      <c r="J49" s="5"/>
      <c r="K49" s="81"/>
      <c r="L49" s="5"/>
      <c r="M49" s="5"/>
      <c r="N49" s="5"/>
      <c r="O49" s="5"/>
      <c r="P49" s="5"/>
      <c r="Q49" s="81">
        <f>'4.4. ANEXOS IPPU'!G72</f>
        <v>0.1</v>
      </c>
      <c r="R49" s="81"/>
      <c r="S49" s="81"/>
      <c r="T49" s="81"/>
      <c r="U49" s="5"/>
      <c r="V49" s="5"/>
      <c r="W49" s="81"/>
      <c r="X49" s="5"/>
      <c r="Y49" s="5"/>
      <c r="Z49" s="5"/>
      <c r="AA49" s="5"/>
      <c r="AB49" s="5"/>
      <c r="AC49" s="5"/>
      <c r="AD49" s="5"/>
      <c r="AE49" s="5"/>
      <c r="AF49" s="5"/>
      <c r="AG49" s="121"/>
      <c r="AH49" s="5"/>
      <c r="AI49" s="5"/>
      <c r="AJ49" s="5"/>
      <c r="AK49" s="5"/>
      <c r="AL49" s="5"/>
      <c r="AM49" s="83">
        <f>Q49*G49*'1.3. Factores de emisión'!E269/1000</f>
        <v>45.785241150000012</v>
      </c>
      <c r="AN49" s="121"/>
      <c r="AO49" s="83"/>
      <c r="AP49" s="132"/>
      <c r="AQ49" s="5"/>
      <c r="AR49" s="5"/>
      <c r="AS49" s="83"/>
      <c r="AT49" s="5"/>
      <c r="AU49" s="5"/>
      <c r="AV49" s="5"/>
      <c r="AW49" s="81"/>
      <c r="AX49" s="5"/>
      <c r="AY49" s="5"/>
      <c r="AZ49" s="5"/>
      <c r="BA49" s="81">
        <f t="shared" si="4"/>
        <v>45.785241150000012</v>
      </c>
      <c r="BB49" s="5"/>
      <c r="BC49" s="84" t="s">
        <v>915</v>
      </c>
      <c r="BD49" s="84" t="s">
        <v>1185</v>
      </c>
      <c r="BE49" s="84" t="s">
        <v>946</v>
      </c>
      <c r="BF49" s="84" t="s">
        <v>1142</v>
      </c>
    </row>
    <row r="50" spans="2:58" ht="125.25" customHeight="1" thickBot="1">
      <c r="B50" s="58">
        <v>1</v>
      </c>
      <c r="C50" s="57" t="s">
        <v>1133</v>
      </c>
      <c r="D50" s="111" t="s">
        <v>1138</v>
      </c>
      <c r="E50" s="80" t="s">
        <v>1189</v>
      </c>
      <c r="F50" s="5"/>
      <c r="G50" s="81">
        <f>'4.4. ANEXOS IPPU'!F73</f>
        <v>60.190939285714279</v>
      </c>
      <c r="H50" s="57" t="s">
        <v>1054</v>
      </c>
      <c r="I50" s="57" t="s">
        <v>1140</v>
      </c>
      <c r="J50" s="5"/>
      <c r="K50" s="81"/>
      <c r="L50" s="5"/>
      <c r="M50" s="5"/>
      <c r="N50" s="5"/>
      <c r="O50" s="5"/>
      <c r="P50" s="81">
        <f>'4.4. ANEXOS IPPU'!G73</f>
        <v>0.1</v>
      </c>
      <c r="Q50" s="5"/>
      <c r="R50" s="81"/>
      <c r="S50" s="81"/>
      <c r="T50" s="81"/>
      <c r="U50" s="5"/>
      <c r="V50" s="5"/>
      <c r="W50" s="81"/>
      <c r="X50" s="5"/>
      <c r="Y50" s="5"/>
      <c r="Z50" s="5"/>
      <c r="AA50" s="5"/>
      <c r="AB50" s="5"/>
      <c r="AC50" s="5"/>
      <c r="AD50" s="5"/>
      <c r="AE50" s="5"/>
      <c r="AF50" s="5"/>
      <c r="AG50" s="121"/>
      <c r="AH50" s="5"/>
      <c r="AI50" s="5"/>
      <c r="AJ50" s="5"/>
      <c r="AK50" s="5"/>
      <c r="AL50" s="83">
        <f>P50*G50*'1.3. Factores de emisión'!E271/1000</f>
        <v>9.1851373350000003</v>
      </c>
      <c r="AM50" s="83"/>
      <c r="AN50" s="83"/>
      <c r="AO50" s="83"/>
      <c r="AP50" s="83"/>
      <c r="AQ50" s="83"/>
      <c r="AR50" s="83"/>
      <c r="AS50" s="83"/>
      <c r="AT50" s="83"/>
      <c r="AU50" s="83"/>
      <c r="AV50" s="83"/>
      <c r="AW50" s="83"/>
      <c r="AX50" s="83"/>
      <c r="AY50" s="83"/>
      <c r="AZ50" s="83"/>
      <c r="BA50" s="83">
        <f t="shared" si="4"/>
        <v>9.1851373350000003</v>
      </c>
      <c r="BB50" s="83"/>
      <c r="BC50" s="84" t="s">
        <v>915</v>
      </c>
      <c r="BD50" s="84" t="s">
        <v>1185</v>
      </c>
      <c r="BE50" s="84" t="s">
        <v>946</v>
      </c>
      <c r="BF50" s="84" t="s">
        <v>1142</v>
      </c>
    </row>
    <row r="51" spans="2:58" ht="126.75" customHeight="1" thickBot="1">
      <c r="B51" s="58">
        <v>1</v>
      </c>
      <c r="C51" s="57" t="s">
        <v>1133</v>
      </c>
      <c r="D51" s="111" t="s">
        <v>1138</v>
      </c>
      <c r="E51" s="80" t="s">
        <v>1190</v>
      </c>
      <c r="F51" s="5"/>
      <c r="G51" s="81">
        <f>'4.4. ANEXOS IPPU'!F74</f>
        <v>742.35491785714271</v>
      </c>
      <c r="H51" s="57" t="s">
        <v>1054</v>
      </c>
      <c r="I51" s="57" t="s">
        <v>1140</v>
      </c>
      <c r="J51" s="5"/>
      <c r="K51" s="81"/>
      <c r="L51" s="5"/>
      <c r="M51" s="5"/>
      <c r="N51" s="5"/>
      <c r="O51" s="5"/>
      <c r="P51" s="5"/>
      <c r="Q51" s="5"/>
      <c r="R51" s="81"/>
      <c r="S51" s="81">
        <f>'4.4. ANEXOS IPPU'!G74</f>
        <v>0.1</v>
      </c>
      <c r="T51" s="81"/>
      <c r="U51" s="5"/>
      <c r="V51" s="5"/>
      <c r="W51" s="81"/>
      <c r="X51" s="5"/>
      <c r="Y51" s="5"/>
      <c r="Z51" s="5"/>
      <c r="AA51" s="5"/>
      <c r="AB51" s="5"/>
      <c r="AC51" s="5"/>
      <c r="AD51" s="5"/>
      <c r="AE51" s="5"/>
      <c r="AF51" s="5"/>
      <c r="AG51" s="121"/>
      <c r="AH51" s="5"/>
      <c r="AI51" s="5"/>
      <c r="AJ51" s="5"/>
      <c r="AK51" s="5"/>
      <c r="AL51" s="5"/>
      <c r="AM51" s="5"/>
      <c r="AN51" s="121"/>
      <c r="AO51" s="83">
        <f>G51*S51*'1.3. Factores de emisión'!E274/1000</f>
        <v>128.05622333035711</v>
      </c>
      <c r="AP51" s="83"/>
      <c r="AQ51" s="83"/>
      <c r="AR51" s="83"/>
      <c r="AS51" s="83"/>
      <c r="AT51" s="83"/>
      <c r="AU51" s="83"/>
      <c r="AV51" s="83"/>
      <c r="AW51" s="83"/>
      <c r="AX51" s="83"/>
      <c r="AY51" s="83"/>
      <c r="AZ51" s="83"/>
      <c r="BA51" s="83">
        <f t="shared" si="4"/>
        <v>128.05622333035711</v>
      </c>
      <c r="BB51" s="5"/>
      <c r="BC51" s="84" t="s">
        <v>915</v>
      </c>
      <c r="BD51" s="84" t="s">
        <v>1185</v>
      </c>
      <c r="BE51" s="84" t="s">
        <v>946</v>
      </c>
      <c r="BF51" s="84" t="s">
        <v>1142</v>
      </c>
    </row>
    <row r="52" spans="2:58" ht="129" customHeight="1" thickBot="1">
      <c r="B52" s="58">
        <v>1</v>
      </c>
      <c r="C52" s="57" t="s">
        <v>1133</v>
      </c>
      <c r="D52" s="111" t="s">
        <v>1138</v>
      </c>
      <c r="E52" s="80" t="s">
        <v>1191</v>
      </c>
      <c r="F52" s="5"/>
      <c r="G52" s="81">
        <f>'4.4. ANEXOS IPPU'!C89</f>
        <v>39.747744962397157</v>
      </c>
      <c r="H52" s="57" t="s">
        <v>1054</v>
      </c>
      <c r="I52" s="57" t="s">
        <v>1140</v>
      </c>
      <c r="J52" s="5"/>
      <c r="K52" s="81"/>
      <c r="L52" s="5"/>
      <c r="M52" s="5"/>
      <c r="N52" s="81">
        <f>'4.4. ANEXOS IPPU'!G75</f>
        <v>0.1</v>
      </c>
      <c r="O52" s="5"/>
      <c r="P52" s="5"/>
      <c r="Q52" s="5"/>
      <c r="R52" s="81"/>
      <c r="S52" s="81"/>
      <c r="T52" s="81"/>
      <c r="U52" s="5"/>
      <c r="V52" s="5"/>
      <c r="W52" s="81"/>
      <c r="X52" s="5"/>
      <c r="Y52" s="5"/>
      <c r="Z52" s="5"/>
      <c r="AA52" s="5"/>
      <c r="AB52" s="5"/>
      <c r="AC52" s="5"/>
      <c r="AD52" s="5"/>
      <c r="AE52" s="5"/>
      <c r="AF52" s="5"/>
      <c r="AG52" s="121"/>
      <c r="AH52" s="5"/>
      <c r="AI52" s="5"/>
      <c r="AJ52" s="83">
        <f>N52*G52*'1.3. Factores de emisión'!E280/1000</f>
        <v>18.510524828988355</v>
      </c>
      <c r="AK52" s="83"/>
      <c r="AL52" s="83"/>
      <c r="AM52" s="83"/>
      <c r="AN52" s="83"/>
      <c r="AO52" s="83"/>
      <c r="AP52" s="83"/>
      <c r="AQ52" s="83"/>
      <c r="AR52" s="83"/>
      <c r="AS52" s="83"/>
      <c r="AT52" s="83"/>
      <c r="AU52" s="83"/>
      <c r="AV52" s="83"/>
      <c r="AW52" s="83"/>
      <c r="AX52" s="83"/>
      <c r="AY52" s="83"/>
      <c r="AZ52" s="83"/>
      <c r="BA52" s="83">
        <f t="shared" si="4"/>
        <v>18.510524828988355</v>
      </c>
      <c r="BB52" s="5"/>
      <c r="BC52" s="84" t="s">
        <v>915</v>
      </c>
      <c r="BD52" s="84" t="s">
        <v>1185</v>
      </c>
      <c r="BE52" s="84" t="s">
        <v>946</v>
      </c>
      <c r="BF52" s="84" t="s">
        <v>1142</v>
      </c>
    </row>
    <row r="53" spans="2:58" ht="143.25" customHeight="1" thickBot="1">
      <c r="B53" s="58">
        <v>1</v>
      </c>
      <c r="C53" s="57" t="s">
        <v>1133</v>
      </c>
      <c r="D53" s="111" t="s">
        <v>1138</v>
      </c>
      <c r="E53" s="80" t="s">
        <v>1192</v>
      </c>
      <c r="F53" s="5"/>
      <c r="G53" s="81">
        <f>'4.4. ANEXOS IPPU'!F76</f>
        <v>140.445525</v>
      </c>
      <c r="H53" s="57" t="s">
        <v>1054</v>
      </c>
      <c r="I53" s="57" t="s">
        <v>1140</v>
      </c>
      <c r="J53" s="5"/>
      <c r="K53" s="81"/>
      <c r="L53" s="5"/>
      <c r="M53" s="5"/>
      <c r="N53" s="5"/>
      <c r="O53" s="5"/>
      <c r="P53" s="5"/>
      <c r="Q53" s="5"/>
      <c r="R53" s="81"/>
      <c r="S53" s="81"/>
      <c r="T53" s="81"/>
      <c r="U53" s="5"/>
      <c r="V53" s="81">
        <f>'4.4. ANEXOS IPPU'!G76</f>
        <v>0.1</v>
      </c>
      <c r="W53" s="81"/>
      <c r="X53" s="5"/>
      <c r="Y53" s="5"/>
      <c r="Z53" s="5"/>
      <c r="AA53" s="5"/>
      <c r="AB53" s="5"/>
      <c r="AC53" s="5"/>
      <c r="AD53" s="5"/>
      <c r="AE53" s="5"/>
      <c r="AF53" s="5"/>
      <c r="AG53" s="121"/>
      <c r="AH53" s="5"/>
      <c r="AI53" s="5"/>
      <c r="AJ53" s="5"/>
      <c r="AK53" s="5"/>
      <c r="AL53" s="5"/>
      <c r="AM53" s="5"/>
      <c r="AN53" s="121"/>
      <c r="AO53" s="83"/>
      <c r="AP53" s="132"/>
      <c r="AQ53" s="5"/>
      <c r="AR53" s="81">
        <f>V53*G53*'1.3. Factores de emisión'!E275/1000</f>
        <v>46.347023250000014</v>
      </c>
      <c r="AS53" s="81"/>
      <c r="AT53" s="81"/>
      <c r="AU53" s="81"/>
      <c r="AV53" s="81"/>
      <c r="AW53" s="81"/>
      <c r="AX53" s="81"/>
      <c r="AY53" s="81"/>
      <c r="AZ53" s="81"/>
      <c r="BA53" s="81">
        <f t="shared" si="4"/>
        <v>46.347023250000014</v>
      </c>
      <c r="BB53" s="5"/>
      <c r="BC53" s="84" t="s">
        <v>915</v>
      </c>
      <c r="BD53" s="84" t="s">
        <v>1185</v>
      </c>
      <c r="BE53" s="84" t="s">
        <v>946</v>
      </c>
      <c r="BF53" s="84" t="s">
        <v>1142</v>
      </c>
    </row>
    <row r="54" spans="2:58" ht="126" customHeight="1" thickBot="1">
      <c r="B54" s="58">
        <v>1</v>
      </c>
      <c r="C54" s="57" t="s">
        <v>1133</v>
      </c>
      <c r="D54" s="111" t="s">
        <v>1138</v>
      </c>
      <c r="E54" s="80" t="s">
        <v>1193</v>
      </c>
      <c r="F54" s="5"/>
      <c r="G54" s="81">
        <f>'4.4. ANEXOS IPPU'!F77</f>
        <v>60.190939285714279</v>
      </c>
      <c r="H54" s="57" t="s">
        <v>1054</v>
      </c>
      <c r="I54" s="57" t="s">
        <v>1140</v>
      </c>
      <c r="J54" s="5"/>
      <c r="K54" s="81"/>
      <c r="L54" s="5"/>
      <c r="M54" s="5"/>
      <c r="N54" s="5"/>
      <c r="O54" s="5"/>
      <c r="P54" s="5"/>
      <c r="Q54" s="5"/>
      <c r="R54" s="81"/>
      <c r="S54" s="81"/>
      <c r="T54" s="81"/>
      <c r="U54" s="5"/>
      <c r="V54" s="5"/>
      <c r="W54" s="81"/>
      <c r="X54" s="5"/>
      <c r="Y54" s="81">
        <f>'4.4. ANEXOS IPPU'!G77</f>
        <v>0.1</v>
      </c>
      <c r="Z54" s="5"/>
      <c r="AA54" s="5"/>
      <c r="AB54" s="5"/>
      <c r="AC54" s="5"/>
      <c r="AD54" s="5"/>
      <c r="AE54" s="5"/>
      <c r="AF54" s="5"/>
      <c r="AG54" s="121"/>
      <c r="AH54" s="5"/>
      <c r="AI54" s="5"/>
      <c r="AJ54" s="5"/>
      <c r="AK54" s="5"/>
      <c r="AL54" s="5"/>
      <c r="AM54" s="5"/>
      <c r="AN54" s="121"/>
      <c r="AO54" s="83"/>
      <c r="AP54" s="132"/>
      <c r="AQ54" s="5"/>
      <c r="AR54" s="5"/>
      <c r="AS54" s="83"/>
      <c r="AT54" s="5"/>
      <c r="AU54" s="121">
        <f>Y54*G54*'1.3. Factores de emisión'!E180/1000</f>
        <v>1.3904106975000014E-2</v>
      </c>
      <c r="AV54" s="121"/>
      <c r="AW54" s="121"/>
      <c r="AX54" s="121"/>
      <c r="AY54" s="121"/>
      <c r="AZ54" s="121"/>
      <c r="BA54" s="121">
        <f t="shared" si="4"/>
        <v>1.3904106975000014E-2</v>
      </c>
      <c r="BB54" s="5"/>
      <c r="BC54" s="84" t="s">
        <v>915</v>
      </c>
      <c r="BD54" s="84" t="s">
        <v>1185</v>
      </c>
      <c r="BE54" s="84" t="s">
        <v>946</v>
      </c>
      <c r="BF54" s="84" t="s">
        <v>1142</v>
      </c>
    </row>
    <row r="55" spans="2:58" ht="126" customHeight="1" thickBot="1">
      <c r="B55" s="58">
        <v>1</v>
      </c>
      <c r="C55" s="57" t="s">
        <v>1133</v>
      </c>
      <c r="D55" s="111" t="s">
        <v>1138</v>
      </c>
      <c r="E55" s="80" t="s">
        <v>1194</v>
      </c>
      <c r="F55" s="5"/>
      <c r="G55" s="81">
        <f>'4.4. ANEXOS IPPU'!F103</f>
        <v>1.1762035714285715</v>
      </c>
      <c r="H55" s="57" t="s">
        <v>1054</v>
      </c>
      <c r="I55" s="57" t="s">
        <v>1195</v>
      </c>
      <c r="J55" s="5"/>
      <c r="K55" s="81"/>
      <c r="L55" s="5"/>
      <c r="M55" s="81">
        <f>'4.4. ANEXOS IPPU'!H103</f>
        <v>0.95</v>
      </c>
      <c r="N55" s="5"/>
      <c r="O55" s="5"/>
      <c r="P55" s="5"/>
      <c r="Q55" s="5"/>
      <c r="R55" s="81"/>
      <c r="S55" s="81"/>
      <c r="T55" s="81"/>
      <c r="U55" s="5"/>
      <c r="V55" s="5"/>
      <c r="W55" s="81"/>
      <c r="X55" s="5"/>
      <c r="Y55" s="81"/>
      <c r="Z55" s="5"/>
      <c r="AA55" s="5"/>
      <c r="AB55" s="5"/>
      <c r="AC55" s="5"/>
      <c r="AD55" s="5"/>
      <c r="AE55" s="5"/>
      <c r="AF55" s="5"/>
      <c r="AG55" s="121"/>
      <c r="AH55" s="5"/>
      <c r="AI55" s="83">
        <f>M55*G55*'1.3. Factores de emisión'!E179/1000</f>
        <v>8.6039291250000011E-2</v>
      </c>
      <c r="AJ55" s="5"/>
      <c r="AK55" s="5"/>
      <c r="AL55" s="5"/>
      <c r="AM55" s="5"/>
      <c r="AN55" s="121"/>
      <c r="AO55" s="83"/>
      <c r="AP55" s="132"/>
      <c r="AQ55" s="5"/>
      <c r="AR55" s="5"/>
      <c r="AS55" s="83"/>
      <c r="AT55" s="5"/>
      <c r="AU55" s="121"/>
      <c r="AV55" s="121"/>
      <c r="AW55" s="121"/>
      <c r="AX55" s="121"/>
      <c r="AY55" s="121"/>
      <c r="AZ55" s="121"/>
      <c r="BA55" s="121">
        <f t="shared" si="4"/>
        <v>8.6039291250000011E-2</v>
      </c>
      <c r="BB55" s="5"/>
      <c r="BC55" s="84" t="s">
        <v>915</v>
      </c>
      <c r="BD55" s="84" t="s">
        <v>1185</v>
      </c>
      <c r="BE55" s="84" t="s">
        <v>946</v>
      </c>
      <c r="BF55" s="84" t="s">
        <v>1142</v>
      </c>
    </row>
    <row r="56" spans="2:58" ht="126" customHeight="1" thickBot="1">
      <c r="B56" s="58">
        <v>1</v>
      </c>
      <c r="C56" s="57" t="s">
        <v>1133</v>
      </c>
      <c r="D56" s="111" t="s">
        <v>1138</v>
      </c>
      <c r="E56" s="80" t="s">
        <v>1196</v>
      </c>
      <c r="F56" s="5"/>
      <c r="G56" s="81">
        <f>'4.4. ANEXOS IPPU'!F104</f>
        <v>7.8413571428571442</v>
      </c>
      <c r="H56" s="57" t="s">
        <v>1054</v>
      </c>
      <c r="I56" s="57" t="s">
        <v>1195</v>
      </c>
      <c r="J56" s="5"/>
      <c r="K56" s="81"/>
      <c r="L56" s="5"/>
      <c r="M56" s="5"/>
      <c r="N56" s="5"/>
      <c r="O56" s="5"/>
      <c r="P56" s="5"/>
      <c r="Q56" s="5"/>
      <c r="R56" s="81">
        <f>'4.4. ANEXOS IPPU'!H104</f>
        <v>0.95</v>
      </c>
      <c r="S56" s="81"/>
      <c r="T56" s="81"/>
      <c r="U56" s="5"/>
      <c r="V56" s="5"/>
      <c r="W56" s="81"/>
      <c r="X56" s="5"/>
      <c r="Y56" s="81"/>
      <c r="Z56" s="5"/>
      <c r="AA56" s="5"/>
      <c r="AB56" s="5"/>
      <c r="AC56" s="5"/>
      <c r="AD56" s="5"/>
      <c r="AE56" s="5"/>
      <c r="AF56" s="5"/>
      <c r="AG56" s="121"/>
      <c r="AH56" s="5"/>
      <c r="AI56" s="5"/>
      <c r="AJ56" s="5"/>
      <c r="AK56" s="5"/>
      <c r="AL56" s="5"/>
      <c r="AM56" s="5"/>
      <c r="AN56" s="83">
        <f>R56*G56*'1.3. Factores de emisión'!E192/1000</f>
        <v>9.6840760714285707</v>
      </c>
      <c r="AO56" s="83"/>
      <c r="AP56" s="132"/>
      <c r="AQ56" s="5"/>
      <c r="AR56" s="5"/>
      <c r="AS56" s="83"/>
      <c r="AT56" s="5"/>
      <c r="AU56" s="121"/>
      <c r="AV56" s="121"/>
      <c r="AW56" s="121"/>
      <c r="AX56" s="121"/>
      <c r="AY56" s="121"/>
      <c r="AZ56" s="121"/>
      <c r="BA56" s="121">
        <f t="shared" si="4"/>
        <v>9.6840760714285707</v>
      </c>
      <c r="BB56" s="5"/>
      <c r="BC56" s="84" t="s">
        <v>915</v>
      </c>
      <c r="BD56" s="84" t="s">
        <v>1185</v>
      </c>
      <c r="BE56" s="84" t="s">
        <v>946</v>
      </c>
      <c r="BF56" s="84" t="s">
        <v>1142</v>
      </c>
    </row>
    <row r="57" spans="2:58" ht="126" customHeight="1" thickBot="1">
      <c r="B57" s="58">
        <v>1</v>
      </c>
      <c r="C57" s="57" t="s">
        <v>1133</v>
      </c>
      <c r="D57" s="111" t="s">
        <v>1138</v>
      </c>
      <c r="E57" s="80" t="s">
        <v>1197</v>
      </c>
      <c r="F57" s="5"/>
      <c r="G57" s="81">
        <f>'4.4. ANEXOS IPPU'!F105</f>
        <v>6.6651535714285721</v>
      </c>
      <c r="H57" s="57" t="s">
        <v>1054</v>
      </c>
      <c r="I57" s="57" t="s">
        <v>1195</v>
      </c>
      <c r="J57" s="5"/>
      <c r="K57" s="81"/>
      <c r="L57" s="5"/>
      <c r="M57" s="5"/>
      <c r="N57" s="5"/>
      <c r="O57" s="81">
        <f>'4.4. ANEXOS IPPU'!H105</f>
        <v>0.95</v>
      </c>
      <c r="P57" s="5"/>
      <c r="Q57" s="5"/>
      <c r="R57" s="81"/>
      <c r="S57" s="81"/>
      <c r="T57" s="81"/>
      <c r="U57" s="5"/>
      <c r="V57" s="5"/>
      <c r="W57" s="81"/>
      <c r="X57" s="5"/>
      <c r="Y57" s="81"/>
      <c r="Z57" s="5"/>
      <c r="AA57" s="5"/>
      <c r="AB57" s="5"/>
      <c r="AC57" s="5"/>
      <c r="AD57" s="5"/>
      <c r="AE57" s="5"/>
      <c r="AF57" s="5"/>
      <c r="AG57" s="121"/>
      <c r="AH57" s="5"/>
      <c r="AI57" s="5"/>
      <c r="AJ57" s="5"/>
      <c r="AK57" s="83">
        <f>O57*G57*'1.3. Factores de emisión'!E178/1000</f>
        <v>11.460731566071429</v>
      </c>
      <c r="AL57" s="5"/>
      <c r="AM57" s="5"/>
      <c r="AN57" s="121"/>
      <c r="AO57" s="83"/>
      <c r="AP57" s="132"/>
      <c r="AQ57" s="5"/>
      <c r="AR57" s="5"/>
      <c r="AS57" s="83"/>
      <c r="AT57" s="5"/>
      <c r="AU57" s="121"/>
      <c r="AV57" s="121"/>
      <c r="AW57" s="121"/>
      <c r="AX57" s="121"/>
      <c r="AY57" s="121"/>
      <c r="AZ57" s="121"/>
      <c r="BA57" s="121">
        <f t="shared" si="4"/>
        <v>11.460731566071429</v>
      </c>
      <c r="BB57" s="5"/>
      <c r="BC57" s="84" t="s">
        <v>915</v>
      </c>
      <c r="BD57" s="84" t="s">
        <v>1185</v>
      </c>
      <c r="BE57" s="84" t="s">
        <v>946</v>
      </c>
      <c r="BF57" s="84" t="s">
        <v>1142</v>
      </c>
    </row>
    <row r="58" spans="2:58" ht="126" customHeight="1" thickBot="1">
      <c r="B58" s="58">
        <v>1</v>
      </c>
      <c r="C58" s="57" t="s">
        <v>1133</v>
      </c>
      <c r="D58" s="111" t="s">
        <v>1138</v>
      </c>
      <c r="E58" s="80" t="s">
        <v>1198</v>
      </c>
      <c r="F58" s="5"/>
      <c r="G58" s="81">
        <f>'4.4. ANEXOS IPPU'!F106</f>
        <v>2.744475</v>
      </c>
      <c r="H58" s="57" t="s">
        <v>1054</v>
      </c>
      <c r="I58" s="57" t="s">
        <v>1195</v>
      </c>
      <c r="J58" s="5"/>
      <c r="K58" s="81"/>
      <c r="L58" s="5"/>
      <c r="M58" s="5"/>
      <c r="N58" s="5"/>
      <c r="O58" s="5"/>
      <c r="P58" s="5"/>
      <c r="Q58" s="81">
        <f>'4.4. ANEXOS IPPU'!H106</f>
        <v>0.95</v>
      </c>
      <c r="R58" s="81"/>
      <c r="S58" s="81"/>
      <c r="T58" s="81"/>
      <c r="U58" s="5"/>
      <c r="V58" s="5"/>
      <c r="W58" s="81"/>
      <c r="X58" s="5"/>
      <c r="Y58" s="81"/>
      <c r="Z58" s="5"/>
      <c r="AA58" s="5"/>
      <c r="AB58" s="5"/>
      <c r="AC58" s="5"/>
      <c r="AD58" s="5"/>
      <c r="AE58" s="5"/>
      <c r="AF58" s="5"/>
      <c r="AG58" s="121"/>
      <c r="AH58" s="5"/>
      <c r="AI58" s="5"/>
      <c r="AJ58" s="5"/>
      <c r="AK58" s="5"/>
      <c r="AL58" s="5"/>
      <c r="AM58" s="83">
        <f>Q58*G58*'1.3. Factores de emisión'!E178/1000</f>
        <v>4.7191247624999999</v>
      </c>
      <c r="AN58" s="121"/>
      <c r="AO58" s="83"/>
      <c r="AP58" s="132"/>
      <c r="AQ58" s="5"/>
      <c r="AR58" s="5"/>
      <c r="AS58" s="83"/>
      <c r="AT58" s="5"/>
      <c r="AU58" s="121"/>
      <c r="AV58" s="121"/>
      <c r="AW58" s="121"/>
      <c r="AX58" s="121"/>
      <c r="AY58" s="121"/>
      <c r="AZ58" s="121"/>
      <c r="BA58" s="121">
        <f t="shared" si="4"/>
        <v>4.7191247624999999</v>
      </c>
      <c r="BB58" s="5"/>
      <c r="BC58" s="84" t="s">
        <v>915</v>
      </c>
      <c r="BD58" s="84" t="s">
        <v>1185</v>
      </c>
      <c r="BE58" s="84" t="s">
        <v>946</v>
      </c>
      <c r="BF58" s="84" t="s">
        <v>1142</v>
      </c>
    </row>
    <row r="59" spans="2:58" ht="126" customHeight="1" thickBot="1">
      <c r="B59" s="58">
        <v>1</v>
      </c>
      <c r="C59" s="57" t="s">
        <v>1133</v>
      </c>
      <c r="D59" s="111" t="s">
        <v>1138</v>
      </c>
      <c r="E59" s="80" t="s">
        <v>1199</v>
      </c>
      <c r="F59" s="5"/>
      <c r="G59" s="81">
        <f>'4.4. ANEXOS IPPU'!F107</f>
        <v>1.1762035714285715</v>
      </c>
      <c r="H59" s="57" t="s">
        <v>1054</v>
      </c>
      <c r="I59" s="57" t="s">
        <v>1195</v>
      </c>
      <c r="J59" s="5"/>
      <c r="K59" s="81"/>
      <c r="L59" s="5"/>
      <c r="M59" s="5"/>
      <c r="N59" s="5"/>
      <c r="O59" s="5"/>
      <c r="P59" s="81">
        <f>'4.4. ANEXOS IPPU'!H107</f>
        <v>0.95</v>
      </c>
      <c r="Q59" s="5"/>
      <c r="R59" s="81"/>
      <c r="S59" s="81"/>
      <c r="T59" s="81"/>
      <c r="U59" s="5"/>
      <c r="V59" s="5"/>
      <c r="W59" s="81"/>
      <c r="X59" s="5"/>
      <c r="Y59" s="81"/>
      <c r="Z59" s="5"/>
      <c r="AA59" s="5"/>
      <c r="AB59" s="5"/>
      <c r="AC59" s="5"/>
      <c r="AD59" s="5"/>
      <c r="AE59" s="5"/>
      <c r="AF59" s="5"/>
      <c r="AG59" s="121"/>
      <c r="AH59" s="5"/>
      <c r="AI59" s="5"/>
      <c r="AJ59" s="5"/>
      <c r="AK59" s="5"/>
      <c r="AL59" s="121">
        <f>P59*G59*'1.3. Factores de emisión'!E271/1000</f>
        <v>1.7051423175</v>
      </c>
      <c r="AM59" s="5"/>
      <c r="AN59" s="121"/>
      <c r="AO59" s="83"/>
      <c r="AP59" s="132"/>
      <c r="AQ59" s="5"/>
      <c r="AR59" s="5"/>
      <c r="AS59" s="83"/>
      <c r="AT59" s="5"/>
      <c r="AU59" s="121"/>
      <c r="AV59" s="121"/>
      <c r="AW59" s="121"/>
      <c r="AX59" s="121"/>
      <c r="AY59" s="121"/>
      <c r="AZ59" s="121"/>
      <c r="BA59" s="121">
        <f t="shared" si="4"/>
        <v>1.7051423175</v>
      </c>
      <c r="BB59" s="5"/>
      <c r="BC59" s="84" t="s">
        <v>915</v>
      </c>
      <c r="BD59" s="84" t="s">
        <v>1185</v>
      </c>
      <c r="BE59" s="84" t="s">
        <v>946</v>
      </c>
      <c r="BF59" s="84" t="s">
        <v>1142</v>
      </c>
    </row>
    <row r="60" spans="2:58" ht="126" customHeight="1" thickBot="1">
      <c r="B60" s="58">
        <v>1</v>
      </c>
      <c r="C60" s="57" t="s">
        <v>1133</v>
      </c>
      <c r="D60" s="111" t="s">
        <v>1138</v>
      </c>
      <c r="E60" s="80" t="s">
        <v>1200</v>
      </c>
      <c r="F60" s="5"/>
      <c r="G60" s="81">
        <f>'4.4. ANEXOS IPPU'!F108</f>
        <v>14.506510714285715</v>
      </c>
      <c r="H60" s="57" t="s">
        <v>1054</v>
      </c>
      <c r="I60" s="57" t="s">
        <v>1195</v>
      </c>
      <c r="J60" s="5"/>
      <c r="K60" s="81"/>
      <c r="L60" s="5"/>
      <c r="M60" s="5"/>
      <c r="N60" s="5"/>
      <c r="O60" s="5"/>
      <c r="P60" s="5"/>
      <c r="Q60" s="5"/>
      <c r="R60" s="81"/>
      <c r="S60" s="81">
        <f>'4.4. ANEXOS IPPU'!H108</f>
        <v>0.95</v>
      </c>
      <c r="T60" s="81"/>
      <c r="U60" s="5"/>
      <c r="V60" s="5"/>
      <c r="W60" s="81"/>
      <c r="X60" s="5"/>
      <c r="Y60" s="81"/>
      <c r="Z60" s="5"/>
      <c r="AA60" s="5"/>
      <c r="AB60" s="5"/>
      <c r="AC60" s="5"/>
      <c r="AD60" s="5"/>
      <c r="AE60" s="5"/>
      <c r="AF60" s="5"/>
      <c r="AG60" s="121"/>
      <c r="AH60" s="5"/>
      <c r="AI60" s="5"/>
      <c r="AJ60" s="5"/>
      <c r="AK60" s="5"/>
      <c r="AL60" s="5"/>
      <c r="AM60" s="5"/>
      <c r="AN60" s="121"/>
      <c r="AO60" s="83">
        <f>S60*G60*'1.3. Factores de emisión'!E274/1000</f>
        <v>23.772544433035709</v>
      </c>
      <c r="AP60" s="132"/>
      <c r="AQ60" s="5"/>
      <c r="AR60" s="5"/>
      <c r="AS60" s="83"/>
      <c r="AT60" s="5"/>
      <c r="AU60" s="121"/>
      <c r="AV60" s="121"/>
      <c r="AW60" s="121"/>
      <c r="AX60" s="121"/>
      <c r="AY60" s="121"/>
      <c r="AZ60" s="121"/>
      <c r="BA60" s="121">
        <f t="shared" si="4"/>
        <v>23.772544433035709</v>
      </c>
      <c r="BB60" s="5"/>
      <c r="BC60" s="84" t="s">
        <v>915</v>
      </c>
      <c r="BD60" s="84" t="s">
        <v>1185</v>
      </c>
      <c r="BE60" s="84" t="s">
        <v>946</v>
      </c>
      <c r="BF60" s="84" t="s">
        <v>1142</v>
      </c>
    </row>
    <row r="61" spans="2:58" ht="126" customHeight="1" thickBot="1">
      <c r="B61" s="58">
        <v>1</v>
      </c>
      <c r="C61" s="57" t="s">
        <v>1133</v>
      </c>
      <c r="D61" s="111" t="s">
        <v>1138</v>
      </c>
      <c r="E61" s="80" t="s">
        <v>1201</v>
      </c>
      <c r="F61" s="5"/>
      <c r="G61" s="81">
        <f>'4.4. ANEXOS IPPU'!F109</f>
        <v>1.1762035714285715</v>
      </c>
      <c r="H61" s="57" t="s">
        <v>1054</v>
      </c>
      <c r="I61" s="57" t="s">
        <v>1195</v>
      </c>
      <c r="J61" s="5"/>
      <c r="K61" s="81"/>
      <c r="L61" s="5"/>
      <c r="M61" s="5"/>
      <c r="N61" s="81">
        <f>'4.4. ANEXOS IPPU'!H109</f>
        <v>0.95</v>
      </c>
      <c r="O61" s="5"/>
      <c r="P61" s="5"/>
      <c r="Q61" s="5"/>
      <c r="R61" s="81"/>
      <c r="S61" s="81"/>
      <c r="T61" s="81"/>
      <c r="U61" s="5"/>
      <c r="V61" s="5"/>
      <c r="W61" s="81"/>
      <c r="X61" s="5"/>
      <c r="Y61" s="81"/>
      <c r="Z61" s="5"/>
      <c r="AA61" s="5"/>
      <c r="AB61" s="5"/>
      <c r="AC61" s="5"/>
      <c r="AD61" s="5"/>
      <c r="AE61" s="5"/>
      <c r="AF61" s="5"/>
      <c r="AG61" s="121"/>
      <c r="AH61" s="5"/>
      <c r="AI61" s="5"/>
      <c r="AJ61" s="83">
        <f>N61*G61*'1.3. Factores de emisión'!E280/1000</f>
        <v>5.2037010305357141</v>
      </c>
      <c r="AK61" s="5"/>
      <c r="AL61" s="5"/>
      <c r="AM61" s="5"/>
      <c r="AN61" s="121"/>
      <c r="AO61" s="83"/>
      <c r="AP61" s="132"/>
      <c r="AQ61" s="5"/>
      <c r="AR61" s="5"/>
      <c r="AS61" s="83"/>
      <c r="AT61" s="5"/>
      <c r="AU61" s="121"/>
      <c r="AV61" s="121"/>
      <c r="AW61" s="121"/>
      <c r="AX61" s="121"/>
      <c r="AY61" s="121"/>
      <c r="AZ61" s="121"/>
      <c r="BA61" s="121">
        <f t="shared" si="4"/>
        <v>5.2037010305357141</v>
      </c>
      <c r="BB61" s="5"/>
      <c r="BC61" s="84" t="s">
        <v>915</v>
      </c>
      <c r="BD61" s="84" t="s">
        <v>1185</v>
      </c>
      <c r="BE61" s="84" t="s">
        <v>946</v>
      </c>
      <c r="BF61" s="84" t="s">
        <v>1142</v>
      </c>
    </row>
    <row r="62" spans="2:58" ht="126" customHeight="1" thickBot="1">
      <c r="B62" s="58">
        <v>1</v>
      </c>
      <c r="C62" s="57" t="s">
        <v>1133</v>
      </c>
      <c r="D62" s="111" t="s">
        <v>1138</v>
      </c>
      <c r="E62" s="80" t="s">
        <v>1202</v>
      </c>
      <c r="F62" s="5"/>
      <c r="G62" s="81">
        <f>'4.4. ANEXOS IPPU'!F110</f>
        <v>2.744475</v>
      </c>
      <c r="H62" s="57" t="s">
        <v>1054</v>
      </c>
      <c r="I62" s="57" t="s">
        <v>1195</v>
      </c>
      <c r="J62" s="5"/>
      <c r="K62" s="81"/>
      <c r="L62" s="5"/>
      <c r="M62" s="5"/>
      <c r="N62" s="5"/>
      <c r="O62" s="5"/>
      <c r="P62" s="5"/>
      <c r="Q62" s="5"/>
      <c r="R62" s="81"/>
      <c r="S62" s="81"/>
      <c r="T62" s="81"/>
      <c r="U62" s="5"/>
      <c r="V62" s="81">
        <f>'4.4. ANEXOS IPPU'!H110</f>
        <v>0.95</v>
      </c>
      <c r="W62" s="81"/>
      <c r="X62" s="5"/>
      <c r="Y62" s="81"/>
      <c r="Z62" s="5"/>
      <c r="AA62" s="5"/>
      <c r="AB62" s="5"/>
      <c r="AC62" s="5"/>
      <c r="AD62" s="5"/>
      <c r="AE62" s="5"/>
      <c r="AF62" s="5"/>
      <c r="AG62" s="121"/>
      <c r="AH62" s="5"/>
      <c r="AI62" s="5"/>
      <c r="AJ62" s="5"/>
      <c r="AK62" s="5"/>
      <c r="AL62" s="5"/>
      <c r="AM62" s="5"/>
      <c r="AN62" s="121"/>
      <c r="AO62" s="83"/>
      <c r="AP62" s="132"/>
      <c r="AQ62" s="5"/>
      <c r="AR62" s="121">
        <f>V62*G62*'1.3. Factores de emisión'!E275/1000</f>
        <v>8.6039291250000005</v>
      </c>
      <c r="AS62" s="83"/>
      <c r="AT62" s="5"/>
      <c r="AU62" s="121"/>
      <c r="AV62" s="121"/>
      <c r="AW62" s="121"/>
      <c r="AX62" s="121"/>
      <c r="AY62" s="121"/>
      <c r="AZ62" s="121"/>
      <c r="BA62" s="121">
        <f t="shared" si="4"/>
        <v>8.6039291250000005</v>
      </c>
      <c r="BB62" s="5"/>
      <c r="BC62" s="84" t="s">
        <v>915</v>
      </c>
      <c r="BD62" s="84" t="s">
        <v>1185</v>
      </c>
      <c r="BE62" s="84" t="s">
        <v>946</v>
      </c>
      <c r="BF62" s="84" t="s">
        <v>1142</v>
      </c>
    </row>
    <row r="63" spans="2:58" ht="126" customHeight="1" thickBot="1">
      <c r="B63" s="58">
        <v>1</v>
      </c>
      <c r="C63" s="57" t="s">
        <v>1133</v>
      </c>
      <c r="D63" s="111" t="s">
        <v>1138</v>
      </c>
      <c r="E63" s="80" t="s">
        <v>1203</v>
      </c>
      <c r="F63" s="5"/>
      <c r="G63" s="81">
        <f>'4.4. ANEXOS IPPU'!F111</f>
        <v>1.1762035714285715</v>
      </c>
      <c r="H63" s="57" t="s">
        <v>1054</v>
      </c>
      <c r="I63" s="57" t="s">
        <v>1195</v>
      </c>
      <c r="J63" s="5"/>
      <c r="K63" s="81"/>
      <c r="L63" s="5"/>
      <c r="M63" s="5"/>
      <c r="N63" s="5"/>
      <c r="O63" s="5"/>
      <c r="P63" s="5"/>
      <c r="Q63" s="5"/>
      <c r="R63" s="81"/>
      <c r="S63" s="81"/>
      <c r="T63" s="81"/>
      <c r="U63" s="5"/>
      <c r="V63" s="5"/>
      <c r="W63" s="81"/>
      <c r="X63" s="5"/>
      <c r="Y63" s="81">
        <f>'4.4. ANEXOS IPPU'!H111</f>
        <v>0.95</v>
      </c>
      <c r="Z63" s="5"/>
      <c r="AA63" s="5"/>
      <c r="AB63" s="5"/>
      <c r="AC63" s="5"/>
      <c r="AD63" s="5"/>
      <c r="AE63" s="5"/>
      <c r="AF63" s="5"/>
      <c r="AG63" s="121"/>
      <c r="AH63" s="5"/>
      <c r="AI63" s="5"/>
      <c r="AJ63" s="5"/>
      <c r="AK63" s="5"/>
      <c r="AL63" s="5"/>
      <c r="AM63" s="5"/>
      <c r="AN63" s="121"/>
      <c r="AO63" s="83"/>
      <c r="AP63" s="132"/>
      <c r="AQ63" s="5"/>
      <c r="AR63" s="5"/>
      <c r="AS63" s="83"/>
      <c r="AT63" s="5"/>
      <c r="AU63" s="121">
        <f>Y63*G63*'1.3. Factores de emisión'!E180/1000</f>
        <v>2.5811787375000029E-3</v>
      </c>
      <c r="AV63" s="121"/>
      <c r="AW63" s="121"/>
      <c r="AX63" s="121"/>
      <c r="AY63" s="121"/>
      <c r="AZ63" s="121"/>
      <c r="BA63" s="121">
        <f t="shared" si="4"/>
        <v>2.5811787375000029E-3</v>
      </c>
      <c r="BB63" s="5"/>
      <c r="BC63" s="84" t="s">
        <v>915</v>
      </c>
      <c r="BD63" s="84" t="s">
        <v>1185</v>
      </c>
      <c r="BE63" s="84" t="s">
        <v>946</v>
      </c>
      <c r="BF63" s="84" t="s">
        <v>1142</v>
      </c>
    </row>
    <row r="64" spans="2:58" ht="93.75" customHeight="1" thickBot="1">
      <c r="B64" s="58">
        <v>1</v>
      </c>
      <c r="C64" s="57" t="s">
        <v>1133</v>
      </c>
      <c r="D64" s="111" t="s">
        <v>1138</v>
      </c>
      <c r="E64" s="80" t="s">
        <v>1204</v>
      </c>
      <c r="F64" s="5"/>
      <c r="G64" s="81">
        <f>'4.4. ANEXOS IPPU'!C83</f>
        <v>168.70850357142857</v>
      </c>
      <c r="H64" s="57" t="s">
        <v>1054</v>
      </c>
      <c r="I64" s="57" t="s">
        <v>1151</v>
      </c>
      <c r="J64" s="5"/>
      <c r="K64" s="81"/>
      <c r="L64" s="5"/>
      <c r="M64" s="5">
        <f>'1.3. Factores de emisión'!E179</f>
        <v>77</v>
      </c>
      <c r="N64" s="5"/>
      <c r="O64" s="5"/>
      <c r="P64" s="5"/>
      <c r="Q64" s="5"/>
      <c r="R64" s="81"/>
      <c r="S64" s="81"/>
      <c r="T64" s="81"/>
      <c r="U64" s="5"/>
      <c r="V64" s="5"/>
      <c r="W64" s="81"/>
      <c r="X64" s="5"/>
      <c r="Y64" s="5"/>
      <c r="Z64" s="5"/>
      <c r="AA64" s="5"/>
      <c r="AB64" s="5"/>
      <c r="AC64" s="5"/>
      <c r="AD64" s="5"/>
      <c r="AE64" s="5"/>
      <c r="AF64" s="5"/>
      <c r="AG64" s="121"/>
      <c r="AH64" s="5"/>
      <c r="AI64" s="83">
        <f>M64*G64/1000</f>
        <v>12.990554774999998</v>
      </c>
      <c r="AJ64" s="5"/>
      <c r="AK64" s="5"/>
      <c r="AL64" s="5"/>
      <c r="AM64" s="5"/>
      <c r="AN64" s="121"/>
      <c r="AO64" s="83"/>
      <c r="AP64" s="132"/>
      <c r="AQ64" s="5"/>
      <c r="AR64" s="5"/>
      <c r="AS64" s="83"/>
      <c r="AT64" s="5"/>
      <c r="AU64" s="5"/>
      <c r="AV64" s="5"/>
      <c r="AW64" s="5"/>
      <c r="AX64" s="5"/>
      <c r="AY64" s="5"/>
      <c r="AZ64" s="5"/>
      <c r="BA64" s="113">
        <f t="shared" si="4"/>
        <v>12.990554774999998</v>
      </c>
      <c r="BB64" s="5"/>
      <c r="BC64" s="84" t="s">
        <v>793</v>
      </c>
      <c r="BD64" s="84" t="s">
        <v>1205</v>
      </c>
      <c r="BE64" s="84" t="s">
        <v>946</v>
      </c>
      <c r="BF64" s="84" t="s">
        <v>1137</v>
      </c>
    </row>
    <row r="65" spans="2:58" ht="81.75" customHeight="1" thickBot="1">
      <c r="B65" s="58">
        <v>1</v>
      </c>
      <c r="C65" s="57" t="s">
        <v>1133</v>
      </c>
      <c r="D65" s="111" t="s">
        <v>1138</v>
      </c>
      <c r="E65" s="80" t="s">
        <v>1206</v>
      </c>
      <c r="F65" s="5"/>
      <c r="G65" s="81">
        <f>'4.4. ANEXOS IPPU'!C84</f>
        <v>179.44831345862002</v>
      </c>
      <c r="H65" s="57" t="s">
        <v>1054</v>
      </c>
      <c r="I65" s="57" t="s">
        <v>1151</v>
      </c>
      <c r="J65" s="5"/>
      <c r="K65" s="81"/>
      <c r="L65" s="5"/>
      <c r="M65" s="5"/>
      <c r="N65" s="5"/>
      <c r="O65" s="5"/>
      <c r="P65" s="5"/>
      <c r="Q65" s="5"/>
      <c r="R65" s="81">
        <f>'1.3. Factores de emisión'!E192</f>
        <v>1300</v>
      </c>
      <c r="S65" s="81"/>
      <c r="T65" s="81"/>
      <c r="U65" s="5"/>
      <c r="V65" s="5"/>
      <c r="W65" s="81"/>
      <c r="X65" s="5"/>
      <c r="Y65" s="5"/>
      <c r="Z65" s="5"/>
      <c r="AA65" s="5"/>
      <c r="AB65" s="5"/>
      <c r="AC65" s="5"/>
      <c r="AD65" s="5"/>
      <c r="AE65" s="5"/>
      <c r="AF65" s="5"/>
      <c r="AG65" s="121"/>
      <c r="AH65" s="5"/>
      <c r="AI65" s="5"/>
      <c r="AJ65" s="5"/>
      <c r="AK65" s="5"/>
      <c r="AL65" s="5"/>
      <c r="AM65" s="5"/>
      <c r="AN65" s="83">
        <f>R65*G65/1000</f>
        <v>233.28280749620603</v>
      </c>
      <c r="AO65" s="83"/>
      <c r="AP65" s="83"/>
      <c r="AQ65" s="83"/>
      <c r="AR65" s="83"/>
      <c r="AS65" s="83"/>
      <c r="AT65" s="83"/>
      <c r="AU65" s="83"/>
      <c r="AV65" s="83"/>
      <c r="AW65" s="83"/>
      <c r="AX65" s="83"/>
      <c r="AY65" s="83"/>
      <c r="AZ65" s="83"/>
      <c r="BA65" s="83">
        <f t="shared" si="4"/>
        <v>233.28280749620603</v>
      </c>
      <c r="BB65" s="5"/>
      <c r="BC65" s="84" t="s">
        <v>793</v>
      </c>
      <c r="BD65" s="84" t="s">
        <v>1205</v>
      </c>
      <c r="BE65" s="84" t="s">
        <v>946</v>
      </c>
      <c r="BF65" s="84" t="s">
        <v>1137</v>
      </c>
    </row>
    <row r="66" spans="2:58" ht="83.25" customHeight="1" thickBot="1">
      <c r="B66" s="58">
        <v>1</v>
      </c>
      <c r="C66" s="57" t="s">
        <v>1133</v>
      </c>
      <c r="D66" s="111" t="s">
        <v>1138</v>
      </c>
      <c r="E66" s="80" t="s">
        <v>1207</v>
      </c>
      <c r="F66" s="5"/>
      <c r="G66" s="81">
        <f>'4.4. ANEXOS IPPU'!C85</f>
        <v>732.2346081954845</v>
      </c>
      <c r="H66" s="57" t="s">
        <v>1054</v>
      </c>
      <c r="I66" s="57" t="s">
        <v>1151</v>
      </c>
      <c r="J66" s="5"/>
      <c r="K66" s="81"/>
      <c r="L66" s="5"/>
      <c r="M66" s="5"/>
      <c r="N66" s="5"/>
      <c r="O66" s="5">
        <f>'1.3. Factores de emisión'!E178</f>
        <v>1810</v>
      </c>
      <c r="P66" s="5"/>
      <c r="Q66" s="5"/>
      <c r="R66" s="81"/>
      <c r="S66" s="81"/>
      <c r="T66" s="81"/>
      <c r="U66" s="5"/>
      <c r="V66" s="5"/>
      <c r="W66" s="81"/>
      <c r="X66" s="5"/>
      <c r="Y66" s="5"/>
      <c r="Z66" s="5"/>
      <c r="AA66" s="5"/>
      <c r="AB66" s="5"/>
      <c r="AC66" s="5"/>
      <c r="AD66" s="5"/>
      <c r="AE66" s="5"/>
      <c r="AF66" s="5"/>
      <c r="AG66" s="121"/>
      <c r="AH66" s="5"/>
      <c r="AI66" s="5"/>
      <c r="AJ66" s="5"/>
      <c r="AK66" s="83">
        <f>O66*G66/1000</f>
        <v>1325.344640833827</v>
      </c>
      <c r="AL66" s="83"/>
      <c r="AM66" s="83"/>
      <c r="AN66" s="83"/>
      <c r="AO66" s="83"/>
      <c r="AP66" s="83"/>
      <c r="AQ66" s="83"/>
      <c r="AR66" s="83"/>
      <c r="AS66" s="83"/>
      <c r="AT66" s="83"/>
      <c r="AU66" s="83"/>
      <c r="AV66" s="83"/>
      <c r="AW66" s="83"/>
      <c r="AX66" s="83"/>
      <c r="AY66" s="83"/>
      <c r="AZ66" s="83"/>
      <c r="BA66" s="83">
        <f t="shared" si="4"/>
        <v>1325.344640833827</v>
      </c>
      <c r="BB66" s="5"/>
      <c r="BC66" s="84" t="s">
        <v>793</v>
      </c>
      <c r="BD66" s="84" t="s">
        <v>1205</v>
      </c>
      <c r="BE66" s="84" t="s">
        <v>946</v>
      </c>
      <c r="BF66" s="84" t="s">
        <v>1137</v>
      </c>
    </row>
    <row r="67" spans="2:58" ht="90.75" customHeight="1" thickBot="1">
      <c r="B67" s="58">
        <v>1</v>
      </c>
      <c r="C67" s="57" t="s">
        <v>1133</v>
      </c>
      <c r="D67" s="111" t="s">
        <v>1138</v>
      </c>
      <c r="E67" s="80" t="s">
        <v>1208</v>
      </c>
      <c r="F67" s="5"/>
      <c r="G67" s="81">
        <f>'4.4. ANEXOS IPPU'!C86</f>
        <v>80.697567984958852</v>
      </c>
      <c r="H67" s="57" t="s">
        <v>1054</v>
      </c>
      <c r="I67" s="57" t="s">
        <v>1151</v>
      </c>
      <c r="J67" s="5"/>
      <c r="K67" s="81"/>
      <c r="L67" s="5"/>
      <c r="M67" s="5"/>
      <c r="N67" s="5"/>
      <c r="O67" s="5"/>
      <c r="P67" s="5"/>
      <c r="Q67" s="5">
        <f>'1.3. Factores de emisión'!E269</f>
        <v>3260</v>
      </c>
      <c r="R67" s="81"/>
      <c r="S67" s="81"/>
      <c r="T67" s="81"/>
      <c r="U67" s="5"/>
      <c r="V67" s="5"/>
      <c r="W67" s="81"/>
      <c r="X67" s="5"/>
      <c r="Y67" s="5"/>
      <c r="Z67" s="5"/>
      <c r="AA67" s="5"/>
      <c r="AB67" s="5"/>
      <c r="AC67" s="5"/>
      <c r="AD67" s="5"/>
      <c r="AE67" s="5"/>
      <c r="AF67" s="5"/>
      <c r="AG67" s="121"/>
      <c r="AH67" s="5"/>
      <c r="AI67" s="5"/>
      <c r="AJ67" s="5"/>
      <c r="AK67" s="5"/>
      <c r="AL67" s="5"/>
      <c r="AM67" s="83">
        <f>Q67*G67/1000</f>
        <v>263.07407163096588</v>
      </c>
      <c r="AN67" s="83"/>
      <c r="AO67" s="83"/>
      <c r="AP67" s="83"/>
      <c r="AQ67" s="83"/>
      <c r="AR67" s="83"/>
      <c r="AS67" s="83"/>
      <c r="AT67" s="83"/>
      <c r="AU67" s="83"/>
      <c r="AV67" s="83"/>
      <c r="AW67" s="83"/>
      <c r="AX67" s="83"/>
      <c r="AY67" s="83"/>
      <c r="AZ67" s="83"/>
      <c r="BA67" s="83">
        <f t="shared" si="4"/>
        <v>263.07407163096588</v>
      </c>
      <c r="BB67" s="5"/>
      <c r="BC67" s="84" t="s">
        <v>793</v>
      </c>
      <c r="BD67" s="84" t="s">
        <v>1205</v>
      </c>
      <c r="BE67" s="84" t="s">
        <v>946</v>
      </c>
      <c r="BF67" s="84" t="s">
        <v>1137</v>
      </c>
    </row>
    <row r="68" spans="2:58" ht="84" customHeight="1" thickBot="1">
      <c r="B68" s="58">
        <v>1</v>
      </c>
      <c r="C68" s="57" t="s">
        <v>1133</v>
      </c>
      <c r="D68" s="111" t="s">
        <v>1138</v>
      </c>
      <c r="E68" s="80" t="s">
        <v>1209</v>
      </c>
      <c r="F68" s="5"/>
      <c r="G68" s="81">
        <f>'4.4. ANEXOS IPPU'!C87</f>
        <v>4.9735928571428571</v>
      </c>
      <c r="H68" s="57" t="s">
        <v>1054</v>
      </c>
      <c r="I68" s="57" t="s">
        <v>1151</v>
      </c>
      <c r="J68" s="5"/>
      <c r="K68" s="81"/>
      <c r="L68" s="5"/>
      <c r="M68" s="5"/>
      <c r="N68" s="5"/>
      <c r="O68" s="5"/>
      <c r="P68" s="5">
        <f>'1.3. Factores de emisión'!E271</f>
        <v>1526</v>
      </c>
      <c r="Q68" s="5"/>
      <c r="R68" s="81"/>
      <c r="S68" s="81"/>
      <c r="T68" s="81"/>
      <c r="U68" s="5"/>
      <c r="V68" s="5"/>
      <c r="W68" s="81"/>
      <c r="X68" s="5"/>
      <c r="Y68" s="5"/>
      <c r="Z68" s="5"/>
      <c r="AA68" s="5"/>
      <c r="AB68" s="5"/>
      <c r="AC68" s="5"/>
      <c r="AD68" s="5"/>
      <c r="AE68" s="5"/>
      <c r="AF68" s="5"/>
      <c r="AG68" s="121"/>
      <c r="AH68" s="5"/>
      <c r="AI68" s="5"/>
      <c r="AJ68" s="5"/>
      <c r="AK68" s="5"/>
      <c r="AL68" s="83">
        <f>P68*G68/1000</f>
        <v>7.5897027000000001</v>
      </c>
      <c r="AM68" s="83"/>
      <c r="AN68" s="83"/>
      <c r="AO68" s="83"/>
      <c r="AP68" s="83"/>
      <c r="AQ68" s="83"/>
      <c r="AR68" s="83"/>
      <c r="AS68" s="83"/>
      <c r="AT68" s="83"/>
      <c r="AU68" s="83"/>
      <c r="AV68" s="83"/>
      <c r="AW68" s="83"/>
      <c r="AX68" s="83"/>
      <c r="AY68" s="83"/>
      <c r="AZ68" s="83"/>
      <c r="BA68" s="83">
        <f t="shared" si="4"/>
        <v>7.5897027000000001</v>
      </c>
      <c r="BB68" s="5"/>
      <c r="BC68" s="84" t="s">
        <v>793</v>
      </c>
      <c r="BD68" s="84" t="s">
        <v>1205</v>
      </c>
      <c r="BE68" s="84" t="s">
        <v>946</v>
      </c>
      <c r="BF68" s="84" t="s">
        <v>1137</v>
      </c>
    </row>
    <row r="69" spans="2:58" ht="74.25" customHeight="1" thickBot="1">
      <c r="B69" s="58">
        <v>1</v>
      </c>
      <c r="C69" s="57" t="s">
        <v>1133</v>
      </c>
      <c r="D69" s="111" t="s">
        <v>1138</v>
      </c>
      <c r="E69" s="80" t="s">
        <v>1210</v>
      </c>
      <c r="F69" s="5"/>
      <c r="G69" s="81">
        <f>'4.4. ANEXOS IPPU'!C88</f>
        <v>658.08312206765152</v>
      </c>
      <c r="H69" s="57" t="s">
        <v>1054</v>
      </c>
      <c r="I69" s="57" t="s">
        <v>1151</v>
      </c>
      <c r="J69" s="5"/>
      <c r="K69" s="81"/>
      <c r="L69" s="5"/>
      <c r="M69" s="5"/>
      <c r="N69" s="5"/>
      <c r="O69" s="5"/>
      <c r="P69" s="5"/>
      <c r="Q69" s="5"/>
      <c r="R69" s="81"/>
      <c r="S69" s="81">
        <f>'1.3. Factores de emisión'!E274</f>
        <v>1724.9999999999998</v>
      </c>
      <c r="T69" s="81"/>
      <c r="U69" s="5"/>
      <c r="V69" s="5"/>
      <c r="W69" s="81"/>
      <c r="X69" s="5"/>
      <c r="Y69" s="5"/>
      <c r="Z69" s="5"/>
      <c r="AA69" s="5"/>
      <c r="AB69" s="5"/>
      <c r="AC69" s="5"/>
      <c r="AD69" s="5"/>
      <c r="AE69" s="5"/>
      <c r="AF69" s="5"/>
      <c r="AG69" s="121"/>
      <c r="AH69" s="5"/>
      <c r="AI69" s="5"/>
      <c r="AJ69" s="5"/>
      <c r="AK69" s="5"/>
      <c r="AL69" s="5"/>
      <c r="AM69" s="5"/>
      <c r="AN69" s="121"/>
      <c r="AO69" s="83">
        <f>G69*S69/1000</f>
        <v>1135.1933855666987</v>
      </c>
      <c r="AP69" s="83"/>
      <c r="AQ69" s="83"/>
      <c r="AR69" s="83"/>
      <c r="AS69" s="83"/>
      <c r="AT69" s="83"/>
      <c r="AU69" s="83"/>
      <c r="AV69" s="83"/>
      <c r="AW69" s="83"/>
      <c r="AX69" s="83"/>
      <c r="AY69" s="83"/>
      <c r="AZ69" s="83"/>
      <c r="BA69" s="83">
        <f t="shared" si="4"/>
        <v>1135.1933855666987</v>
      </c>
      <c r="BB69" s="5"/>
      <c r="BC69" s="84" t="s">
        <v>793</v>
      </c>
      <c r="BD69" s="84" t="s">
        <v>1205</v>
      </c>
      <c r="BE69" s="84" t="s">
        <v>946</v>
      </c>
      <c r="BF69" s="84" t="s">
        <v>1137</v>
      </c>
    </row>
    <row r="70" spans="2:58" ht="86.25" customHeight="1" thickBot="1">
      <c r="B70" s="58">
        <v>1</v>
      </c>
      <c r="C70" s="57" t="s">
        <v>1133</v>
      </c>
      <c r="D70" s="111" t="s">
        <v>1138</v>
      </c>
      <c r="E70" s="80" t="s">
        <v>1211</v>
      </c>
      <c r="F70" s="5"/>
      <c r="G70" s="81">
        <f>'4.4. ANEXOS IPPU'!C89</f>
        <v>39.747744962397157</v>
      </c>
      <c r="H70" s="57" t="s">
        <v>1054</v>
      </c>
      <c r="I70" s="57" t="s">
        <v>1151</v>
      </c>
      <c r="J70" s="5"/>
      <c r="K70" s="81"/>
      <c r="L70" s="5"/>
      <c r="M70" s="5"/>
      <c r="N70" s="5">
        <f>'1.3. Factores de emisión'!E280</f>
        <v>4657</v>
      </c>
      <c r="O70" s="5"/>
      <c r="P70" s="5"/>
      <c r="Q70" s="5"/>
      <c r="R70" s="81"/>
      <c r="S70" s="81"/>
      <c r="T70" s="81"/>
      <c r="U70" s="5"/>
      <c r="V70" s="5"/>
      <c r="W70" s="81"/>
      <c r="X70" s="5"/>
      <c r="Y70" s="5"/>
      <c r="Z70" s="5"/>
      <c r="AA70" s="5"/>
      <c r="AB70" s="5"/>
      <c r="AC70" s="5"/>
      <c r="AD70" s="5"/>
      <c r="AE70" s="5"/>
      <c r="AF70" s="5"/>
      <c r="AG70" s="121"/>
      <c r="AH70" s="5"/>
      <c r="AI70" s="5"/>
      <c r="AJ70" s="83">
        <f>N70*G70/1000</f>
        <v>185.10524828988355</v>
      </c>
      <c r="AK70" s="83"/>
      <c r="AL70" s="83"/>
      <c r="AM70" s="83"/>
      <c r="AN70" s="83"/>
      <c r="AO70" s="83"/>
      <c r="AP70" s="83"/>
      <c r="AQ70" s="83"/>
      <c r="AR70" s="83"/>
      <c r="AS70" s="83"/>
      <c r="AT70" s="83"/>
      <c r="AU70" s="83"/>
      <c r="AV70" s="83"/>
      <c r="AW70" s="83"/>
      <c r="AX70" s="83"/>
      <c r="AY70" s="83"/>
      <c r="AZ70" s="83"/>
      <c r="BA70" s="83">
        <f t="shared" si="4"/>
        <v>185.10524828988355</v>
      </c>
      <c r="BB70" s="5"/>
      <c r="BC70" s="84" t="s">
        <v>793</v>
      </c>
      <c r="BD70" s="84" t="s">
        <v>1205</v>
      </c>
      <c r="BE70" s="84" t="s">
        <v>946</v>
      </c>
      <c r="BF70" s="84" t="s">
        <v>1137</v>
      </c>
    </row>
    <row r="71" spans="2:58" ht="90.75" customHeight="1" thickBot="1">
      <c r="B71" s="58">
        <v>1</v>
      </c>
      <c r="C71" s="57" t="s">
        <v>1133</v>
      </c>
      <c r="D71" s="111" t="s">
        <v>1138</v>
      </c>
      <c r="E71" s="80" t="s">
        <v>1212</v>
      </c>
      <c r="F71" s="5"/>
      <c r="G71" s="81">
        <f>'4.4. ANEXOS IPPU'!C90</f>
        <v>1479.7121928571428</v>
      </c>
      <c r="H71" s="57" t="s">
        <v>1054</v>
      </c>
      <c r="I71" s="57" t="s">
        <v>1151</v>
      </c>
      <c r="J71" s="5"/>
      <c r="K71" s="5"/>
      <c r="L71" s="5"/>
      <c r="M71" s="5"/>
      <c r="N71" s="5"/>
      <c r="O71" s="5"/>
      <c r="P71" s="5"/>
      <c r="Q71" s="5"/>
      <c r="R71" s="5"/>
      <c r="S71" s="5"/>
      <c r="T71" s="5"/>
      <c r="U71" s="5"/>
      <c r="V71" s="5">
        <f>'1.3. Factores de emisión'!E275</f>
        <v>3300.0000000000005</v>
      </c>
      <c r="W71" s="5"/>
      <c r="X71" s="5"/>
      <c r="Y71" s="5"/>
      <c r="Z71" s="5"/>
      <c r="AA71" s="5"/>
      <c r="AB71" s="5"/>
      <c r="AC71" s="5"/>
      <c r="AD71" s="5"/>
      <c r="AE71" s="5"/>
      <c r="AF71" s="5"/>
      <c r="AG71" s="83"/>
      <c r="AH71" s="5"/>
      <c r="AI71" s="5"/>
      <c r="AJ71" s="5"/>
      <c r="AK71" s="5"/>
      <c r="AL71" s="5"/>
      <c r="AM71" s="5"/>
      <c r="AN71" s="5"/>
      <c r="AO71" s="5"/>
      <c r="AP71" s="5"/>
      <c r="AQ71" s="5"/>
      <c r="AR71" s="5">
        <f>V71*G71/1000</f>
        <v>4883.0502364285721</v>
      </c>
      <c r="AS71" s="5"/>
      <c r="AT71" s="5"/>
      <c r="AU71" s="5"/>
      <c r="AV71" s="5"/>
      <c r="AW71" s="5"/>
      <c r="AX71" s="5"/>
      <c r="AY71" s="5"/>
      <c r="AZ71" s="5"/>
      <c r="BA71" s="81">
        <f t="shared" si="4"/>
        <v>4883.0502364285721</v>
      </c>
      <c r="BB71" s="5"/>
      <c r="BC71" s="84" t="s">
        <v>793</v>
      </c>
      <c r="BD71" s="84" t="s">
        <v>1205</v>
      </c>
      <c r="BE71" s="84" t="s">
        <v>946</v>
      </c>
      <c r="BF71" s="84" t="s">
        <v>1137</v>
      </c>
    </row>
    <row r="72" spans="2:58" ht="93.75" customHeight="1" thickBot="1">
      <c r="B72" s="58">
        <v>1</v>
      </c>
      <c r="C72" s="57" t="s">
        <v>1133</v>
      </c>
      <c r="D72" s="111" t="s">
        <v>1138</v>
      </c>
      <c r="E72" s="80" t="s">
        <v>1213</v>
      </c>
      <c r="F72" s="5"/>
      <c r="G72" s="81">
        <f>'4.4. ANEXOS IPPU'!C91</f>
        <v>168.70850357142857</v>
      </c>
      <c r="H72" s="57" t="s">
        <v>1054</v>
      </c>
      <c r="I72" s="57" t="s">
        <v>1151</v>
      </c>
      <c r="J72" s="5"/>
      <c r="K72" s="83"/>
      <c r="L72" s="5"/>
      <c r="M72" s="5"/>
      <c r="N72" s="5"/>
      <c r="O72" s="5"/>
      <c r="P72" s="5"/>
      <c r="Q72" s="5"/>
      <c r="R72" s="5"/>
      <c r="S72" s="5"/>
      <c r="T72" s="5"/>
      <c r="U72" s="5"/>
      <c r="V72" s="5"/>
      <c r="W72" s="5"/>
      <c r="X72" s="5"/>
      <c r="Y72" s="5">
        <f>'1.3. Factores de emisión'!E180</f>
        <v>2.3100000000000023</v>
      </c>
      <c r="Z72" s="5"/>
      <c r="AA72" s="5"/>
      <c r="AB72" s="5"/>
      <c r="AC72" s="5"/>
      <c r="AD72" s="5"/>
      <c r="AE72" s="5"/>
      <c r="AF72" s="5"/>
      <c r="AG72" s="83"/>
      <c r="AH72" s="5"/>
      <c r="AI72" s="5"/>
      <c r="AJ72" s="5"/>
      <c r="AK72" s="5"/>
      <c r="AL72" s="5"/>
      <c r="AM72" s="5"/>
      <c r="AN72" s="5"/>
      <c r="AO72" s="5"/>
      <c r="AP72" s="5"/>
      <c r="AQ72" s="5"/>
      <c r="AR72" s="5"/>
      <c r="AS72" s="5"/>
      <c r="AT72" s="5"/>
      <c r="AU72" s="83">
        <f>Y72*G72/1000</f>
        <v>0.38971664325000033</v>
      </c>
      <c r="AV72" s="5"/>
      <c r="AW72" s="5"/>
      <c r="AX72" s="5"/>
      <c r="AY72" s="5"/>
      <c r="AZ72" s="5"/>
      <c r="BA72" s="81">
        <f t="shared" si="4"/>
        <v>0.38971664325000033</v>
      </c>
      <c r="BB72" s="5"/>
      <c r="BC72" s="84" t="s">
        <v>793</v>
      </c>
      <c r="BD72" s="84" t="s">
        <v>1205</v>
      </c>
      <c r="BE72" s="84" t="s">
        <v>946</v>
      </c>
      <c r="BF72" s="84" t="s">
        <v>1137</v>
      </c>
    </row>
    <row r="73" spans="2:58" ht="134.25" customHeight="1" thickBot="1">
      <c r="B73" s="58">
        <v>1</v>
      </c>
      <c r="C73" s="57" t="s">
        <v>1133</v>
      </c>
      <c r="D73" s="111" t="s">
        <v>1138</v>
      </c>
      <c r="E73" s="80" t="s">
        <v>1214</v>
      </c>
      <c r="F73" s="5"/>
      <c r="G73" s="81">
        <f>'4.4. ANEXOS IPPU'!F175</f>
        <v>4.2946428571428568</v>
      </c>
      <c r="H73" s="57" t="s">
        <v>1054</v>
      </c>
      <c r="I73" s="57" t="s">
        <v>1140</v>
      </c>
      <c r="J73" s="5"/>
      <c r="K73" s="83"/>
      <c r="L73" s="5"/>
      <c r="M73" s="5"/>
      <c r="N73" s="5"/>
      <c r="O73" s="5"/>
      <c r="P73" s="5"/>
      <c r="Q73" s="5"/>
      <c r="R73" s="5"/>
      <c r="S73" s="81">
        <f>'4.4. ANEXOS IPPU'!G175</f>
        <v>0.25</v>
      </c>
      <c r="T73" s="5"/>
      <c r="U73" s="5"/>
      <c r="V73" s="5"/>
      <c r="W73" s="5"/>
      <c r="X73" s="5"/>
      <c r="Y73" s="5"/>
      <c r="Z73" s="5"/>
      <c r="AA73" s="5"/>
      <c r="AB73" s="5"/>
      <c r="AC73" s="5"/>
      <c r="AD73" s="5"/>
      <c r="AE73" s="5"/>
      <c r="AF73" s="5"/>
      <c r="AG73" s="83"/>
      <c r="AH73" s="5"/>
      <c r="AI73" s="5"/>
      <c r="AJ73" s="5"/>
      <c r="AK73" s="5"/>
      <c r="AL73" s="5"/>
      <c r="AM73" s="5"/>
      <c r="AN73" s="5"/>
      <c r="AO73" s="121">
        <f>S73*G73*'1.3. Factores de emisión'!E274/1000</f>
        <v>1.8520647321428567</v>
      </c>
      <c r="AP73" s="5"/>
      <c r="AQ73" s="5"/>
      <c r="AR73" s="5"/>
      <c r="AS73" s="5"/>
      <c r="AT73" s="5"/>
      <c r="AU73" s="83"/>
      <c r="AV73" s="5"/>
      <c r="AW73" s="5"/>
      <c r="AX73" s="5"/>
      <c r="AY73" s="5"/>
      <c r="AZ73" s="5"/>
      <c r="BA73" s="81">
        <f t="shared" si="4"/>
        <v>1.8520647321428567</v>
      </c>
      <c r="BB73" s="5"/>
      <c r="BC73" s="84" t="s">
        <v>915</v>
      </c>
      <c r="BD73" s="84" t="s">
        <v>1215</v>
      </c>
      <c r="BE73" s="84" t="s">
        <v>946</v>
      </c>
      <c r="BF73" s="84" t="s">
        <v>1142</v>
      </c>
    </row>
    <row r="74" spans="2:58" ht="123" customHeight="1" thickBot="1">
      <c r="B74" s="58">
        <v>1</v>
      </c>
      <c r="C74" s="57" t="s">
        <v>1133</v>
      </c>
      <c r="D74" s="111" t="s">
        <v>1138</v>
      </c>
      <c r="E74" s="80" t="s">
        <v>1216</v>
      </c>
      <c r="F74" s="5"/>
      <c r="G74" s="81">
        <f>'4.4. ANEXOS IPPU'!F176</f>
        <v>4.2946428571428568</v>
      </c>
      <c r="H74" s="57" t="s">
        <v>1054</v>
      </c>
      <c r="I74" s="57" t="s">
        <v>1140</v>
      </c>
      <c r="J74" s="5"/>
      <c r="K74" s="83"/>
      <c r="L74" s="5"/>
      <c r="M74" s="5"/>
      <c r="N74" s="5"/>
      <c r="O74" s="5"/>
      <c r="P74" s="5"/>
      <c r="Q74" s="5"/>
      <c r="R74" s="5"/>
      <c r="S74" s="5"/>
      <c r="T74" s="5"/>
      <c r="U74" s="5"/>
      <c r="V74" s="5"/>
      <c r="W74" s="5"/>
      <c r="X74" s="5"/>
      <c r="Y74" s="5"/>
      <c r="Z74" s="81">
        <f>'4.4. ANEXOS IPPU'!G176</f>
        <v>0.25</v>
      </c>
      <c r="AA74" s="5"/>
      <c r="AB74" s="5"/>
      <c r="AC74" s="5"/>
      <c r="AD74" s="5"/>
      <c r="AE74" s="5"/>
      <c r="AF74" s="5"/>
      <c r="AG74" s="83"/>
      <c r="AH74" s="5"/>
      <c r="AI74" s="5"/>
      <c r="AJ74" s="5"/>
      <c r="AK74" s="5"/>
      <c r="AL74" s="5"/>
      <c r="AM74" s="5"/>
      <c r="AN74" s="5"/>
      <c r="AO74" s="5"/>
      <c r="AP74" s="5"/>
      <c r="AQ74" s="5"/>
      <c r="AR74" s="5"/>
      <c r="AS74" s="5"/>
      <c r="AT74" s="5"/>
      <c r="AU74" s="83"/>
      <c r="AV74" s="83">
        <f>Z74*G74*'1.3. Factores de emisión'!E182/1000</f>
        <v>0.77840401785714275</v>
      </c>
      <c r="AW74" s="5"/>
      <c r="AX74" s="5"/>
      <c r="AY74" s="5"/>
      <c r="AZ74" s="5"/>
      <c r="BA74" s="81">
        <f t="shared" si="4"/>
        <v>0.77840401785714275</v>
      </c>
      <c r="BB74" s="5"/>
      <c r="BC74" s="84" t="s">
        <v>915</v>
      </c>
      <c r="BD74" s="84" t="s">
        <v>1215</v>
      </c>
      <c r="BE74" s="84" t="s">
        <v>946</v>
      </c>
      <c r="BF74" s="84" t="s">
        <v>1142</v>
      </c>
    </row>
    <row r="75" spans="2:58" ht="72" customHeight="1" thickBot="1">
      <c r="B75" s="58">
        <v>1</v>
      </c>
      <c r="C75" s="57" t="s">
        <v>1133</v>
      </c>
      <c r="D75" s="111" t="s">
        <v>1138</v>
      </c>
      <c r="E75" s="80" t="s">
        <v>1217</v>
      </c>
      <c r="F75" s="5"/>
      <c r="G75" s="81">
        <f>'4.4. ANEXOS IPPU'!C182</f>
        <v>41.955357142857139</v>
      </c>
      <c r="H75" s="57" t="s">
        <v>1054</v>
      </c>
      <c r="I75" s="57" t="s">
        <v>1151</v>
      </c>
      <c r="J75" s="5"/>
      <c r="K75" s="83"/>
      <c r="L75" s="5"/>
      <c r="M75" s="5"/>
      <c r="N75" s="5"/>
      <c r="O75" s="5"/>
      <c r="P75" s="5"/>
      <c r="Q75" s="5"/>
      <c r="R75" s="5"/>
      <c r="S75" s="5">
        <f>'1.3. Factores de emisión'!E274</f>
        <v>1724.9999999999998</v>
      </c>
      <c r="T75" s="5"/>
      <c r="U75" s="5"/>
      <c r="V75" s="5"/>
      <c r="W75" s="5"/>
      <c r="X75" s="5"/>
      <c r="Y75" s="5"/>
      <c r="Z75" s="5"/>
      <c r="AA75" s="5"/>
      <c r="AB75" s="5"/>
      <c r="AC75" s="5"/>
      <c r="AD75" s="5"/>
      <c r="AE75" s="5"/>
      <c r="AF75" s="5"/>
      <c r="AG75" s="83"/>
      <c r="AH75" s="5"/>
      <c r="AI75" s="5"/>
      <c r="AJ75" s="5"/>
      <c r="AK75" s="5"/>
      <c r="AL75" s="5"/>
      <c r="AM75" s="5"/>
      <c r="AN75" s="5"/>
      <c r="AO75" s="83">
        <f>S75*G75/1000</f>
        <v>72.372991071428544</v>
      </c>
      <c r="AP75" s="83"/>
      <c r="AQ75" s="83"/>
      <c r="AR75" s="83"/>
      <c r="AS75" s="83"/>
      <c r="AT75" s="83"/>
      <c r="AU75" s="83"/>
      <c r="AV75" s="83"/>
      <c r="AW75" s="83"/>
      <c r="AX75" s="83"/>
      <c r="AY75" s="83"/>
      <c r="AZ75" s="83"/>
      <c r="BA75" s="83">
        <f t="shared" si="4"/>
        <v>72.372991071428544</v>
      </c>
      <c r="BB75" s="5"/>
      <c r="BC75" s="84" t="s">
        <v>793</v>
      </c>
      <c r="BD75" s="84" t="s">
        <v>1205</v>
      </c>
      <c r="BE75" s="84" t="s">
        <v>946</v>
      </c>
      <c r="BF75" s="84" t="s">
        <v>1137</v>
      </c>
    </row>
    <row r="76" spans="2:58" ht="78" customHeight="1" thickBot="1">
      <c r="B76" s="58">
        <v>1</v>
      </c>
      <c r="C76" s="57" t="s">
        <v>1133</v>
      </c>
      <c r="D76" s="111" t="s">
        <v>1138</v>
      </c>
      <c r="E76" s="80" t="s">
        <v>1218</v>
      </c>
      <c r="F76" s="5"/>
      <c r="G76" s="81">
        <f>'4.4. ANEXOS IPPU'!C183</f>
        <v>41.955357142857139</v>
      </c>
      <c r="H76" s="57" t="s">
        <v>1054</v>
      </c>
      <c r="I76" s="57" t="s">
        <v>1151</v>
      </c>
      <c r="J76" s="5"/>
      <c r="K76" s="83"/>
      <c r="L76" s="5"/>
      <c r="M76" s="5"/>
      <c r="N76" s="5"/>
      <c r="O76" s="5"/>
      <c r="P76" s="5"/>
      <c r="Q76" s="5"/>
      <c r="R76" s="5"/>
      <c r="S76" s="5"/>
      <c r="T76" s="5"/>
      <c r="U76" s="5"/>
      <c r="V76" s="5"/>
      <c r="W76" s="5"/>
      <c r="X76" s="5"/>
      <c r="Y76" s="5"/>
      <c r="Z76" s="5">
        <f>'1.3. Factores de emisión'!E182</f>
        <v>725</v>
      </c>
      <c r="AA76" s="5"/>
      <c r="AB76" s="5"/>
      <c r="AC76" s="5"/>
      <c r="AD76" s="5"/>
      <c r="AE76" s="5"/>
      <c r="AF76" s="5"/>
      <c r="AG76" s="83"/>
      <c r="AH76" s="5"/>
      <c r="AI76" s="5"/>
      <c r="AJ76" s="5"/>
      <c r="AK76" s="5"/>
      <c r="AL76" s="5"/>
      <c r="AM76" s="5"/>
      <c r="AN76" s="5"/>
      <c r="AO76" s="5"/>
      <c r="AP76" s="5"/>
      <c r="AQ76" s="5"/>
      <c r="AR76" s="5"/>
      <c r="AS76" s="5"/>
      <c r="AT76" s="5"/>
      <c r="AU76" s="83"/>
      <c r="AV76" s="83">
        <f>Z76*G76/1000</f>
        <v>30.417633928571423</v>
      </c>
      <c r="AW76" s="83"/>
      <c r="AX76" s="83"/>
      <c r="AY76" s="83"/>
      <c r="AZ76" s="83"/>
      <c r="BA76" s="83">
        <f t="shared" si="4"/>
        <v>30.417633928571423</v>
      </c>
      <c r="BB76" s="5"/>
      <c r="BC76" s="84" t="s">
        <v>793</v>
      </c>
      <c r="BD76" s="84" t="s">
        <v>1205</v>
      </c>
      <c r="BE76" s="84" t="s">
        <v>946</v>
      </c>
      <c r="BF76" s="84" t="s">
        <v>1137</v>
      </c>
    </row>
    <row r="77" spans="2:58" ht="125.25" customHeight="1" thickBot="1">
      <c r="B77" s="58">
        <v>1</v>
      </c>
      <c r="C77" s="57" t="s">
        <v>1133</v>
      </c>
      <c r="D77" s="111" t="s">
        <v>1138</v>
      </c>
      <c r="E77" s="80" t="s">
        <v>1172</v>
      </c>
      <c r="F77" s="5"/>
      <c r="G77" s="81">
        <f>'4.4. ANEXOS IPPU'!F194</f>
        <v>11.015111428571432</v>
      </c>
      <c r="H77" s="57" t="s">
        <v>1054</v>
      </c>
      <c r="I77" s="57" t="s">
        <v>1140</v>
      </c>
      <c r="J77" s="5"/>
      <c r="K77" s="83"/>
      <c r="L77" s="5"/>
      <c r="M77" s="5"/>
      <c r="N77" s="5"/>
      <c r="O77" s="5"/>
      <c r="P77" s="5"/>
      <c r="Q77" s="5"/>
      <c r="R77" s="81">
        <f>'4.4. ANEXOS IPPU'!G194</f>
        <v>2.3800000000000002E-2</v>
      </c>
      <c r="S77" s="5"/>
      <c r="T77" s="5"/>
      <c r="U77" s="5"/>
      <c r="V77" s="5"/>
      <c r="W77" s="5"/>
      <c r="X77" s="5"/>
      <c r="Y77" s="5"/>
      <c r="Z77" s="5"/>
      <c r="AA77" s="5"/>
      <c r="AB77" s="5"/>
      <c r="AC77" s="5"/>
      <c r="AD77" s="5"/>
      <c r="AE77" s="5"/>
      <c r="AF77" s="5"/>
      <c r="AG77" s="83"/>
      <c r="AH77" s="5"/>
      <c r="AI77" s="5"/>
      <c r="AJ77" s="5"/>
      <c r="AK77" s="5"/>
      <c r="AL77" s="5"/>
      <c r="AM77" s="5"/>
      <c r="AN77" s="121">
        <f>R77*G77*'1.3. Factores de emisión'!E192/1000</f>
        <v>0.34080754760000009</v>
      </c>
      <c r="AO77" s="5"/>
      <c r="AP77" s="5"/>
      <c r="AQ77" s="5"/>
      <c r="AR77" s="5"/>
      <c r="AS77" s="5"/>
      <c r="AT77" s="5"/>
      <c r="AU77" s="83"/>
      <c r="AV77" s="83"/>
      <c r="AW77" s="83"/>
      <c r="AX77" s="83"/>
      <c r="AY77" s="83"/>
      <c r="AZ77" s="83"/>
      <c r="BA77" s="83">
        <f t="shared" si="4"/>
        <v>0.34080754760000009</v>
      </c>
      <c r="BB77" s="5"/>
      <c r="BC77" s="84" t="s">
        <v>915</v>
      </c>
      <c r="BD77" s="84" t="s">
        <v>1215</v>
      </c>
      <c r="BE77" s="84" t="s">
        <v>946</v>
      </c>
      <c r="BF77" s="84" t="s">
        <v>1142</v>
      </c>
    </row>
    <row r="78" spans="2:58" ht="120.75" customHeight="1" thickBot="1">
      <c r="B78" s="58">
        <v>1</v>
      </c>
      <c r="C78" s="57" t="s">
        <v>1133</v>
      </c>
      <c r="D78" s="111" t="s">
        <v>1138</v>
      </c>
      <c r="E78" s="80" t="s">
        <v>1219</v>
      </c>
      <c r="F78" s="5"/>
      <c r="G78" s="81">
        <f>'4.4. ANEXOS IPPU'!F195</f>
        <v>0.88120891428571457</v>
      </c>
      <c r="H78" s="57" t="s">
        <v>1054</v>
      </c>
      <c r="I78" s="57" t="s">
        <v>1140</v>
      </c>
      <c r="J78" s="5"/>
      <c r="K78" s="83"/>
      <c r="L78" s="5"/>
      <c r="M78" s="5"/>
      <c r="N78" s="5"/>
      <c r="O78" s="5"/>
      <c r="P78" s="5"/>
      <c r="Q78" s="5"/>
      <c r="S78" s="5"/>
      <c r="T78" s="5"/>
      <c r="U78" s="5"/>
      <c r="V78" s="5"/>
      <c r="W78" s="5"/>
      <c r="X78" s="5"/>
      <c r="Y78" s="5"/>
      <c r="Z78" s="5"/>
      <c r="AA78" s="5"/>
      <c r="AB78" s="81">
        <f>'4.4. ANEXOS IPPU'!G195</f>
        <v>2.3800000000000002E-2</v>
      </c>
      <c r="AC78" s="81"/>
      <c r="AD78" s="5"/>
      <c r="AE78" s="5"/>
      <c r="AF78" s="5"/>
      <c r="AG78" s="83"/>
      <c r="AH78" s="5"/>
      <c r="AI78" s="5"/>
      <c r="AJ78" s="5"/>
      <c r="AK78" s="5"/>
      <c r="AL78" s="5"/>
      <c r="AM78" s="5"/>
      <c r="AO78" s="5"/>
      <c r="AP78" s="5"/>
      <c r="AQ78" s="5"/>
      <c r="AR78" s="5"/>
      <c r="AS78" s="5"/>
      <c r="AT78" s="5"/>
      <c r="AU78" s="83"/>
      <c r="AV78" s="83"/>
      <c r="AW78" s="83"/>
      <c r="AX78" s="83">
        <f>AB78*G78*'1.3. Factores de emisión'!E281/1000</f>
        <v>1.1535024688000003E-4</v>
      </c>
      <c r="AY78" s="83"/>
      <c r="AZ78" s="83"/>
      <c r="BA78" s="83">
        <f t="shared" si="4"/>
        <v>1.1535024688000003E-4</v>
      </c>
      <c r="BB78" s="5"/>
      <c r="BC78" s="84" t="s">
        <v>915</v>
      </c>
      <c r="BD78" s="84" t="s">
        <v>1215</v>
      </c>
      <c r="BE78" s="84" t="s">
        <v>946</v>
      </c>
      <c r="BF78" s="84" t="s">
        <v>1142</v>
      </c>
    </row>
    <row r="79" spans="2:58" ht="123" customHeight="1" thickBot="1">
      <c r="B79" s="58">
        <v>1</v>
      </c>
      <c r="C79" s="57" t="s">
        <v>1133</v>
      </c>
      <c r="D79" s="111" t="s">
        <v>1138</v>
      </c>
      <c r="E79" s="80" t="s">
        <v>1220</v>
      </c>
      <c r="F79" s="5"/>
      <c r="G79" s="81">
        <f>'4.4. ANEXOS IPPU'!F196</f>
        <v>0.88120891428571457</v>
      </c>
      <c r="H79" s="57" t="s">
        <v>1054</v>
      </c>
      <c r="I79" s="57" t="s">
        <v>1140</v>
      </c>
      <c r="J79" s="5"/>
      <c r="K79" s="83"/>
      <c r="L79" s="5"/>
      <c r="M79" s="5"/>
      <c r="N79" s="5"/>
      <c r="O79" s="5"/>
      <c r="P79" s="5"/>
      <c r="Q79" s="5"/>
      <c r="R79" s="5"/>
      <c r="S79" s="5"/>
      <c r="T79" s="5"/>
      <c r="U79" s="5"/>
      <c r="V79" s="5"/>
      <c r="W79" s="5"/>
      <c r="X79" s="5"/>
      <c r="Y79" s="5"/>
      <c r="Z79" s="5"/>
      <c r="AA79" s="5"/>
      <c r="AB79" s="5"/>
      <c r="AC79" s="81">
        <f>'4.4. ANEXOS IPPU'!G196</f>
        <v>2.3800000000000002E-2</v>
      </c>
      <c r="AD79" s="5"/>
      <c r="AE79" s="5"/>
      <c r="AF79" s="5"/>
      <c r="AG79" s="83"/>
      <c r="AH79" s="5"/>
      <c r="AI79" s="5"/>
      <c r="AJ79" s="5"/>
      <c r="AK79" s="5"/>
      <c r="AL79" s="5"/>
      <c r="AM79" s="5"/>
      <c r="AN79" s="5"/>
      <c r="AO79" s="5"/>
      <c r="AP79" s="5"/>
      <c r="AQ79" s="5"/>
      <c r="AR79" s="5"/>
      <c r="AS79" s="5"/>
      <c r="AT79" s="5"/>
      <c r="AU79" s="83"/>
      <c r="AV79" s="83"/>
      <c r="AW79" s="83"/>
      <c r="AX79" s="83"/>
      <c r="AY79" s="83">
        <f>AC79*G79*'1.3. Factores de emisión'!E187/1000</f>
        <v>0.2453814342720001</v>
      </c>
      <c r="AZ79" s="83"/>
      <c r="BA79" s="83">
        <f t="shared" si="4"/>
        <v>0.2453814342720001</v>
      </c>
      <c r="BB79" s="5"/>
      <c r="BC79" s="84" t="s">
        <v>915</v>
      </c>
      <c r="BD79" s="84" t="s">
        <v>1215</v>
      </c>
      <c r="BE79" s="84" t="s">
        <v>946</v>
      </c>
      <c r="BF79" s="84" t="s">
        <v>1142</v>
      </c>
    </row>
    <row r="80" spans="2:58" ht="121.5" customHeight="1" thickBot="1">
      <c r="B80" s="58">
        <v>1</v>
      </c>
      <c r="C80" s="57" t="s">
        <v>1133</v>
      </c>
      <c r="D80" s="111" t="s">
        <v>1138</v>
      </c>
      <c r="E80" s="80" t="s">
        <v>1221</v>
      </c>
      <c r="F80" s="5"/>
      <c r="G80" s="81">
        <f>'4.4. ANEXOS IPPU'!F197</f>
        <v>0.88120891428571457</v>
      </c>
      <c r="H80" s="57" t="s">
        <v>1054</v>
      </c>
      <c r="I80" s="57" t="s">
        <v>1140</v>
      </c>
      <c r="J80" s="5"/>
      <c r="K80" s="83"/>
      <c r="L80" s="5"/>
      <c r="M80" s="5"/>
      <c r="N80" s="5"/>
      <c r="O80" s="5"/>
      <c r="P80" s="5"/>
      <c r="Q80" s="5"/>
      <c r="R80" s="5"/>
      <c r="S80" s="5"/>
      <c r="T80" s="5"/>
      <c r="U80" s="81">
        <f>'4.4. ANEXOS IPPU'!G197</f>
        <v>2.3800000000000002E-2</v>
      </c>
      <c r="V80" s="5"/>
      <c r="W80" s="5"/>
      <c r="X80" s="5"/>
      <c r="Y80" s="5"/>
      <c r="Z80" s="5"/>
      <c r="AA80" s="5"/>
      <c r="AB80" s="5"/>
      <c r="AC80" s="5"/>
      <c r="AD80" s="5"/>
      <c r="AE80" s="5"/>
      <c r="AF80" s="5"/>
      <c r="AG80" s="83"/>
      <c r="AH80" s="5"/>
      <c r="AI80" s="5"/>
      <c r="AJ80" s="5"/>
      <c r="AK80" s="5"/>
      <c r="AL80" s="5"/>
      <c r="AM80" s="5"/>
      <c r="AN80" s="5"/>
      <c r="AO80" s="5"/>
      <c r="AP80" s="5"/>
      <c r="AQ80" s="171">
        <f>U80*G80*'1.3. Factores de emisión'!E264/1000</f>
        <v>6.9210148128000015E-5</v>
      </c>
      <c r="AR80" s="5"/>
      <c r="AS80" s="5"/>
      <c r="AT80" s="5"/>
      <c r="AU80" s="83"/>
      <c r="AV80" s="83"/>
      <c r="AW80" s="83"/>
      <c r="AX80" s="83"/>
      <c r="AY80" s="83"/>
      <c r="AZ80" s="83"/>
      <c r="BA80" s="83">
        <f t="shared" si="4"/>
        <v>6.9210148128000015E-5</v>
      </c>
      <c r="BB80" s="5"/>
      <c r="BC80" s="84" t="s">
        <v>915</v>
      </c>
      <c r="BD80" s="84" t="s">
        <v>1215</v>
      </c>
      <c r="BE80" s="84" t="s">
        <v>946</v>
      </c>
      <c r="BF80" s="84" t="s">
        <v>1142</v>
      </c>
    </row>
    <row r="81" spans="2:58" ht="130.5" customHeight="1" thickBot="1">
      <c r="B81" s="58">
        <v>1</v>
      </c>
      <c r="C81" s="57" t="s">
        <v>1133</v>
      </c>
      <c r="D81" s="111" t="s">
        <v>1138</v>
      </c>
      <c r="E81" s="80" t="s">
        <v>1222</v>
      </c>
      <c r="F81" s="5"/>
      <c r="G81" s="81">
        <f>'4.4. ANEXOS IPPU'!F198</f>
        <v>1.1015111428571431</v>
      </c>
      <c r="H81" s="57" t="s">
        <v>1054</v>
      </c>
      <c r="I81" s="57" t="s">
        <v>1140</v>
      </c>
      <c r="J81" s="5"/>
      <c r="K81" s="83"/>
      <c r="L81" s="5"/>
      <c r="M81" s="5"/>
      <c r="N81" s="5"/>
      <c r="O81" s="5"/>
      <c r="P81" s="5"/>
      <c r="Q81" s="81">
        <f>'4.4. ANEXOS IPPU'!G198</f>
        <v>2.3800000000000002E-2</v>
      </c>
      <c r="R81" s="5"/>
      <c r="S81" s="5"/>
      <c r="T81" s="5"/>
      <c r="U81" s="5"/>
      <c r="V81" s="5"/>
      <c r="W81" s="5"/>
      <c r="X81" s="5"/>
      <c r="Y81" s="5"/>
      <c r="Z81" s="5"/>
      <c r="AA81" s="5"/>
      <c r="AB81" s="5"/>
      <c r="AC81" s="5"/>
      <c r="AD81" s="5"/>
      <c r="AE81" s="5"/>
      <c r="AF81" s="5"/>
      <c r="AG81" s="83"/>
      <c r="AH81" s="5"/>
      <c r="AI81" s="5"/>
      <c r="AJ81" s="5"/>
      <c r="AK81" s="5"/>
      <c r="AL81" s="5"/>
      <c r="AM81" s="83">
        <f>Q81*G81*'1.3. Factores de emisión'!E269/1000</f>
        <v>8.5464046552000031E-2</v>
      </c>
      <c r="AN81" s="5"/>
      <c r="AO81" s="5"/>
      <c r="AP81" s="5"/>
      <c r="AQ81" s="5"/>
      <c r="AR81" s="5"/>
      <c r="AS81" s="5"/>
      <c r="AT81" s="5"/>
      <c r="AU81" s="83"/>
      <c r="AV81" s="83"/>
      <c r="AW81" s="83"/>
      <c r="AX81" s="83"/>
      <c r="AY81" s="83"/>
      <c r="AZ81" s="83"/>
      <c r="BA81" s="83">
        <f t="shared" si="4"/>
        <v>8.5464046552000031E-2</v>
      </c>
      <c r="BB81" s="5"/>
      <c r="BC81" s="84" t="s">
        <v>915</v>
      </c>
      <c r="BD81" s="84" t="s">
        <v>1215</v>
      </c>
      <c r="BE81" s="84" t="s">
        <v>946</v>
      </c>
      <c r="BF81" s="84" t="s">
        <v>1142</v>
      </c>
    </row>
    <row r="82" spans="2:58" ht="120.75" customHeight="1" thickBot="1">
      <c r="B82" s="58">
        <v>1</v>
      </c>
      <c r="C82" s="57" t="s">
        <v>1133</v>
      </c>
      <c r="D82" s="111" t="s">
        <v>1138</v>
      </c>
      <c r="E82" s="80" t="s">
        <v>1223</v>
      </c>
      <c r="F82" s="5"/>
      <c r="G82" s="81">
        <f>'4.4. ANEXOS IPPU'!F199</f>
        <v>1.1015111428571431</v>
      </c>
      <c r="H82" s="57" t="s">
        <v>1054</v>
      </c>
      <c r="I82" s="57" t="s">
        <v>1140</v>
      </c>
      <c r="J82" s="5"/>
      <c r="K82" s="83"/>
      <c r="L82" s="5"/>
      <c r="M82" s="5"/>
      <c r="N82" s="5"/>
      <c r="O82" s="5"/>
      <c r="P82" s="5"/>
      <c r="Q82" s="5"/>
      <c r="R82" s="5"/>
      <c r="S82" s="81">
        <f>'4.4. ANEXOS IPPU'!G199</f>
        <v>2.3800000000000002E-2</v>
      </c>
      <c r="T82" s="5"/>
      <c r="U82" s="5"/>
      <c r="V82" s="5"/>
      <c r="W82" s="5"/>
      <c r="X82" s="5"/>
      <c r="Y82" s="5"/>
      <c r="Z82" s="5"/>
      <c r="AA82" s="5"/>
      <c r="AB82" s="5"/>
      <c r="AC82" s="5"/>
      <c r="AD82" s="5"/>
      <c r="AE82" s="5"/>
      <c r="AF82" s="5"/>
      <c r="AG82" s="83"/>
      <c r="AH82" s="5"/>
      <c r="AI82" s="5"/>
      <c r="AJ82" s="5"/>
      <c r="AK82" s="5"/>
      <c r="AL82" s="5"/>
      <c r="AM82" s="5"/>
      <c r="AN82" s="5"/>
      <c r="AO82" s="83">
        <f>G82*S82*'1.3. Factores de emisión'!E274/1000</f>
        <v>4.522253997000001E-2</v>
      </c>
      <c r="AP82" s="5"/>
      <c r="AQ82" s="5"/>
      <c r="AR82" s="5"/>
      <c r="AS82" s="5"/>
      <c r="AT82" s="5"/>
      <c r="AU82" s="83"/>
      <c r="AV82" s="83"/>
      <c r="AW82" s="83"/>
      <c r="AX82" s="83"/>
      <c r="AY82" s="83"/>
      <c r="AZ82" s="83"/>
      <c r="BA82" s="83">
        <f t="shared" si="4"/>
        <v>4.522253997000001E-2</v>
      </c>
      <c r="BB82" s="5"/>
      <c r="BC82" s="84" t="s">
        <v>915</v>
      </c>
      <c r="BD82" s="84" t="s">
        <v>1215</v>
      </c>
      <c r="BE82" s="84" t="s">
        <v>946</v>
      </c>
      <c r="BF82" s="84" t="s">
        <v>1142</v>
      </c>
    </row>
    <row r="83" spans="2:58" ht="126" customHeight="1" thickBot="1">
      <c r="B83" s="58">
        <v>1</v>
      </c>
      <c r="C83" s="57" t="s">
        <v>1133</v>
      </c>
      <c r="D83" s="111" t="s">
        <v>1138</v>
      </c>
      <c r="E83" s="80" t="s">
        <v>1224</v>
      </c>
      <c r="F83" s="5"/>
      <c r="G83" s="81">
        <f>'4.4. ANEXOS IPPU'!F200</f>
        <v>3.0842312000000009</v>
      </c>
      <c r="H83" s="57" t="s">
        <v>1054</v>
      </c>
      <c r="I83" s="57" t="s">
        <v>1140</v>
      </c>
      <c r="J83" s="5"/>
      <c r="K83" s="83"/>
      <c r="L83" s="5"/>
      <c r="M83" s="5"/>
      <c r="N83" s="5"/>
      <c r="O83" s="5"/>
      <c r="P83" s="5"/>
      <c r="Q83" s="5"/>
      <c r="R83" s="5"/>
      <c r="S83" s="5"/>
      <c r="T83" s="5"/>
      <c r="U83" s="5"/>
      <c r="V83" s="81">
        <f>'4.4. ANEXOS IPPU'!G200</f>
        <v>2.3800000000000002E-2</v>
      </c>
      <c r="W83" s="5"/>
      <c r="X83" s="5"/>
      <c r="Y83" s="5"/>
      <c r="Z83" s="5"/>
      <c r="AA83" s="5"/>
      <c r="AB83" s="5"/>
      <c r="AC83" s="5"/>
      <c r="AD83" s="5"/>
      <c r="AE83" s="5"/>
      <c r="AF83" s="5"/>
      <c r="AG83" s="83"/>
      <c r="AH83" s="5"/>
      <c r="AI83" s="5"/>
      <c r="AJ83" s="5"/>
      <c r="AK83" s="5"/>
      <c r="AL83" s="5"/>
      <c r="AM83" s="5"/>
      <c r="AN83" s="5"/>
      <c r="AO83" s="5"/>
      <c r="AP83" s="5"/>
      <c r="AQ83" s="5"/>
      <c r="AR83" s="83">
        <f>V83*G83*'1.3. Factores de emisión'!E275/1000</f>
        <v>0.24223551844800015</v>
      </c>
      <c r="AS83" s="5"/>
      <c r="AT83" s="5"/>
      <c r="AU83" s="83"/>
      <c r="AV83" s="83"/>
      <c r="AW83" s="83"/>
      <c r="AX83" s="83"/>
      <c r="AY83" s="83"/>
      <c r="AZ83" s="83"/>
      <c r="BA83" s="83">
        <f t="shared" si="4"/>
        <v>0.24223551844800015</v>
      </c>
      <c r="BB83" s="5"/>
      <c r="BC83" s="84" t="s">
        <v>915</v>
      </c>
      <c r="BD83" s="84" t="s">
        <v>1215</v>
      </c>
      <c r="BE83" s="84" t="s">
        <v>946</v>
      </c>
      <c r="BF83" s="84" t="s">
        <v>1142</v>
      </c>
    </row>
    <row r="84" spans="2:58" ht="132.75" customHeight="1" thickBot="1">
      <c r="B84" s="58">
        <v>1</v>
      </c>
      <c r="C84" s="57" t="s">
        <v>1133</v>
      </c>
      <c r="D84" s="111" t="s">
        <v>1138</v>
      </c>
      <c r="E84" s="80" t="s">
        <v>1225</v>
      </c>
      <c r="F84" s="5"/>
      <c r="G84" s="81">
        <f>'4.4. ANEXOS IPPU'!F201</f>
        <v>3.0842312000000009</v>
      </c>
      <c r="H84" s="57" t="s">
        <v>1054</v>
      </c>
      <c r="I84" s="57" t="s">
        <v>1140</v>
      </c>
      <c r="J84" s="5"/>
      <c r="K84" s="83"/>
      <c r="L84" s="5"/>
      <c r="M84" s="5"/>
      <c r="N84" s="5"/>
      <c r="O84" s="5"/>
      <c r="P84" s="5"/>
      <c r="Q84" s="5"/>
      <c r="R84" s="5"/>
      <c r="S84" s="5"/>
      <c r="T84" s="81">
        <f>'4.4. ANEXOS IPPU'!G201</f>
        <v>2.3800000000000002E-2</v>
      </c>
      <c r="U84" s="5"/>
      <c r="V84" s="5"/>
      <c r="W84" s="5"/>
      <c r="X84" s="5"/>
      <c r="Y84" s="5"/>
      <c r="Z84" s="5"/>
      <c r="AA84" s="5"/>
      <c r="AB84" s="5"/>
      <c r="AC84" s="5"/>
      <c r="AD84" s="5"/>
      <c r="AE84" s="5"/>
      <c r="AF84" s="5"/>
      <c r="AG84" s="83"/>
      <c r="AH84" s="5"/>
      <c r="AI84" s="5"/>
      <c r="AJ84" s="5"/>
      <c r="AK84" s="5"/>
      <c r="AL84" s="5"/>
      <c r="AM84" s="5"/>
      <c r="AN84" s="5"/>
      <c r="AO84" s="5"/>
      <c r="AP84" s="132">
        <f>G84*T84*'1.3. Factores de emisión'!E265/1000</f>
        <v>7.3404702560000036E-8</v>
      </c>
      <c r="AQ84" s="5"/>
      <c r="AR84" s="5"/>
      <c r="AS84" s="5"/>
      <c r="AT84" s="5"/>
      <c r="AU84" s="83"/>
      <c r="AV84" s="83"/>
      <c r="AW84" s="83"/>
      <c r="AX84" s="83"/>
      <c r="AY84" s="83"/>
      <c r="AZ84" s="83"/>
      <c r="BA84" s="83">
        <f t="shared" si="4"/>
        <v>7.3404702560000036E-8</v>
      </c>
      <c r="BB84" s="5"/>
      <c r="BC84" s="84" t="s">
        <v>915</v>
      </c>
      <c r="BD84" s="84" t="s">
        <v>1215</v>
      </c>
      <c r="BE84" s="84" t="s">
        <v>946</v>
      </c>
      <c r="BF84" s="84" t="s">
        <v>1142</v>
      </c>
    </row>
    <row r="85" spans="2:58" ht="81.75" customHeight="1" thickBot="1">
      <c r="B85" s="58">
        <v>1</v>
      </c>
      <c r="C85" s="57" t="s">
        <v>1133</v>
      </c>
      <c r="D85" s="111" t="s">
        <v>1138</v>
      </c>
      <c r="E85" s="80" t="s">
        <v>1226</v>
      </c>
      <c r="F85" s="5"/>
      <c r="G85" s="81">
        <f>'4.4. ANEXOS IPPU'!C207</f>
        <v>67.789285714285711</v>
      </c>
      <c r="H85" s="57" t="s">
        <v>1054</v>
      </c>
      <c r="I85" s="57" t="s">
        <v>1151</v>
      </c>
      <c r="J85" s="5"/>
      <c r="K85" s="83"/>
      <c r="L85" s="5"/>
      <c r="M85" s="5"/>
      <c r="N85" s="5"/>
      <c r="O85" s="5"/>
      <c r="P85" s="5"/>
      <c r="Q85" s="5"/>
      <c r="R85" s="5">
        <f>'1.3. Factores de emisión'!E192</f>
        <v>1300</v>
      </c>
      <c r="S85" s="5"/>
      <c r="T85" s="5"/>
      <c r="U85" s="5"/>
      <c r="V85" s="5"/>
      <c r="W85" s="5"/>
      <c r="X85" s="5"/>
      <c r="Y85" s="5"/>
      <c r="Z85" s="5"/>
      <c r="AA85" s="5"/>
      <c r="AB85" s="5"/>
      <c r="AC85" s="5"/>
      <c r="AD85" s="5"/>
      <c r="AE85" s="5"/>
      <c r="AF85" s="5"/>
      <c r="AG85" s="83"/>
      <c r="AH85" s="5"/>
      <c r="AI85" s="5"/>
      <c r="AJ85" s="5"/>
      <c r="AK85" s="5"/>
      <c r="AL85" s="5"/>
      <c r="AM85" s="5"/>
      <c r="AN85" s="83">
        <f>R85*G85/1000</f>
        <v>88.126071428571422</v>
      </c>
      <c r="AO85" s="5"/>
      <c r="AP85" s="5"/>
      <c r="AQ85" s="5"/>
      <c r="AR85" s="5"/>
      <c r="AS85" s="5"/>
      <c r="AT85" s="5"/>
      <c r="AU85" s="83"/>
      <c r="AV85" s="83"/>
      <c r="AW85" s="83"/>
      <c r="AX85" s="83"/>
      <c r="AY85" s="83"/>
      <c r="AZ85" s="83"/>
      <c r="BA85" s="83">
        <f t="shared" si="4"/>
        <v>88.126071428571422</v>
      </c>
      <c r="BB85" s="5"/>
      <c r="BC85" s="84" t="s">
        <v>793</v>
      </c>
      <c r="BD85" s="84" t="s">
        <v>1205</v>
      </c>
      <c r="BE85" s="84" t="s">
        <v>946</v>
      </c>
      <c r="BF85" s="84" t="s">
        <v>1137</v>
      </c>
    </row>
    <row r="86" spans="2:58" ht="122.25" customHeight="1" thickBot="1">
      <c r="B86" s="58">
        <v>1</v>
      </c>
      <c r="C86" s="57" t="s">
        <v>1133</v>
      </c>
      <c r="D86" s="111" t="s">
        <v>1138</v>
      </c>
      <c r="E86" s="80" t="s">
        <v>1172</v>
      </c>
      <c r="F86" s="5"/>
      <c r="G86" s="81">
        <f>'4.4. ANEXOS IPPU'!F220</f>
        <v>0.20399999999999993</v>
      </c>
      <c r="H86" s="57" t="s">
        <v>1054</v>
      </c>
      <c r="I86" s="57" t="s">
        <v>1140</v>
      </c>
      <c r="J86" s="5"/>
      <c r="K86" s="83"/>
      <c r="L86" s="5"/>
      <c r="M86" s="5"/>
      <c r="N86" s="5"/>
      <c r="O86" s="5"/>
      <c r="P86" s="5"/>
      <c r="Q86" s="5"/>
      <c r="R86" s="81">
        <f>'4.4. ANEXOS IPPU'!G220</f>
        <v>0.02</v>
      </c>
      <c r="S86" s="5"/>
      <c r="T86" s="5"/>
      <c r="U86" s="5"/>
      <c r="V86" s="5"/>
      <c r="W86" s="5"/>
      <c r="X86" s="5"/>
      <c r="Y86" s="5"/>
      <c r="Z86" s="5"/>
      <c r="AA86" s="5"/>
      <c r="AB86" s="5"/>
      <c r="AC86" s="5"/>
      <c r="AD86" s="5"/>
      <c r="AE86" s="5"/>
      <c r="AF86" s="5"/>
      <c r="AG86" s="83"/>
      <c r="AH86" s="5"/>
      <c r="AI86" s="5"/>
      <c r="AJ86" s="5"/>
      <c r="AK86" s="5"/>
      <c r="AL86" s="5"/>
      <c r="AM86" s="5"/>
      <c r="AN86" s="83">
        <f>R86*G86*'1.3. Factores de emisión'!E192/1000</f>
        <v>5.3039999999999988E-3</v>
      </c>
      <c r="AO86" s="5"/>
      <c r="AP86" s="5"/>
      <c r="AQ86" s="5"/>
      <c r="AR86" s="5"/>
      <c r="AS86" s="5"/>
      <c r="AT86" s="5"/>
      <c r="AU86" s="83"/>
      <c r="AV86" s="83"/>
      <c r="AW86" s="83"/>
      <c r="AX86" s="83"/>
      <c r="AY86" s="83"/>
      <c r="AZ86" s="83"/>
      <c r="BA86" s="83">
        <f t="shared" si="4"/>
        <v>5.3039999999999988E-3</v>
      </c>
      <c r="BB86" s="5"/>
      <c r="BC86" s="84" t="s">
        <v>915</v>
      </c>
      <c r="BD86" s="84" t="s">
        <v>1227</v>
      </c>
      <c r="BE86" s="84" t="s">
        <v>955</v>
      </c>
      <c r="BF86" s="84" t="s">
        <v>1142</v>
      </c>
    </row>
    <row r="87" spans="2:58" ht="147" customHeight="1" thickBot="1">
      <c r="B87" s="58">
        <v>1</v>
      </c>
      <c r="C87" s="57" t="s">
        <v>1133</v>
      </c>
      <c r="D87" s="111" t="s">
        <v>1138</v>
      </c>
      <c r="E87" s="80" t="s">
        <v>1228</v>
      </c>
      <c r="F87" s="5"/>
      <c r="G87" s="81">
        <f>'4.4. ANEXOS IPPU'!F221</f>
        <v>8.7428571428571411E-2</v>
      </c>
      <c r="H87" s="57" t="s">
        <v>1054</v>
      </c>
      <c r="I87" s="57" t="s">
        <v>1140</v>
      </c>
      <c r="J87" s="5"/>
      <c r="K87" s="83"/>
      <c r="L87" s="5"/>
      <c r="M87" s="5"/>
      <c r="N87" s="5"/>
      <c r="O87" s="5"/>
      <c r="P87" s="5"/>
      <c r="Q87" s="5"/>
      <c r="R87" s="5"/>
      <c r="S87" s="5"/>
      <c r="T87" s="81">
        <f>'4.4. ANEXOS IPPU'!G221</f>
        <v>0.02</v>
      </c>
      <c r="U87" s="5"/>
      <c r="V87" s="5"/>
      <c r="W87" s="5"/>
      <c r="X87" s="5"/>
      <c r="Y87" s="5"/>
      <c r="Z87" s="5"/>
      <c r="AA87" s="5"/>
      <c r="AB87" s="5"/>
      <c r="AC87" s="5"/>
      <c r="AD87" s="5"/>
      <c r="AE87" s="5"/>
      <c r="AF87" s="5"/>
      <c r="AG87" s="83"/>
      <c r="AH87" s="5"/>
      <c r="AI87" s="5"/>
      <c r="AJ87" s="5"/>
      <c r="AK87" s="5"/>
      <c r="AL87" s="5"/>
      <c r="AM87" s="5"/>
      <c r="AN87" s="83"/>
      <c r="AO87" s="5"/>
      <c r="AP87" s="176">
        <f>G87*T87*'1.3. Factores de emisión'!E265/1000</f>
        <v>1.7485714285714283E-9</v>
      </c>
      <c r="AQ87" s="5"/>
      <c r="AR87" s="5"/>
      <c r="AS87" s="5"/>
      <c r="AT87" s="5"/>
      <c r="AU87" s="83"/>
      <c r="AV87" s="83"/>
      <c r="AW87" s="83"/>
      <c r="AX87" s="83"/>
      <c r="AY87" s="83"/>
      <c r="AZ87" s="83"/>
      <c r="BA87" s="83">
        <f t="shared" si="4"/>
        <v>1.7485714285714283E-9</v>
      </c>
      <c r="BB87" s="5"/>
      <c r="BC87" s="84" t="s">
        <v>915</v>
      </c>
      <c r="BD87" s="84" t="s">
        <v>1227</v>
      </c>
      <c r="BE87" s="84" t="s">
        <v>955</v>
      </c>
      <c r="BF87" s="84" t="s">
        <v>1142</v>
      </c>
    </row>
    <row r="88" spans="2:58" ht="19.5" thickBot="1">
      <c r="C88" s="64"/>
      <c r="AE88" s="69" t="s">
        <v>810</v>
      </c>
      <c r="AF88" s="82">
        <f t="shared" ref="AF88:AY88" si="5">SUM(AF19:AF87)</f>
        <v>0</v>
      </c>
      <c r="AG88" s="82">
        <f t="shared" si="5"/>
        <v>126.42692269281604</v>
      </c>
      <c r="AH88" s="82">
        <f t="shared" si="5"/>
        <v>0</v>
      </c>
      <c r="AI88" s="82">
        <f t="shared" si="5"/>
        <v>13.540064298749998</v>
      </c>
      <c r="AJ88" s="82">
        <f t="shared" si="5"/>
        <v>208.81947414940763</v>
      </c>
      <c r="AK88" s="82">
        <f t="shared" si="5"/>
        <v>3230.1266673410387</v>
      </c>
      <c r="AL88" s="82">
        <f t="shared" si="5"/>
        <v>21.988744257261907</v>
      </c>
      <c r="AM88" s="82">
        <f t="shared" si="5"/>
        <v>351.1428131546437</v>
      </c>
      <c r="AN88" s="82">
        <f t="shared" si="5"/>
        <v>2038.9347019218419</v>
      </c>
      <c r="AO88" s="82">
        <f t="shared" si="5"/>
        <v>3237.4952198525953</v>
      </c>
      <c r="AP88" s="82">
        <f t="shared" si="5"/>
        <v>5.4203612739885699E-6</v>
      </c>
      <c r="AQ88" s="82">
        <f t="shared" si="5"/>
        <v>6.9210148128000015E-5</v>
      </c>
      <c r="AR88" s="82">
        <f t="shared" si="5"/>
        <v>4938.2434243220205</v>
      </c>
      <c r="AS88" s="82">
        <f t="shared" si="5"/>
        <v>2686.3492096454529</v>
      </c>
      <c r="AT88" s="82">
        <f t="shared" si="5"/>
        <v>6.5903225142857222E-2</v>
      </c>
      <c r="AU88" s="82">
        <f t="shared" si="5"/>
        <v>0.40620192896250035</v>
      </c>
      <c r="AV88" s="82">
        <f t="shared" si="5"/>
        <v>31.196037946428564</v>
      </c>
      <c r="AW88" s="82">
        <f t="shared" si="5"/>
        <v>168010.30799999999</v>
      </c>
      <c r="AX88" s="82">
        <f t="shared" si="5"/>
        <v>1.1535024688000003E-4</v>
      </c>
      <c r="AY88" s="82">
        <f t="shared" si="5"/>
        <v>0.2453814342720001</v>
      </c>
      <c r="AZ88" s="69" t="s">
        <v>810</v>
      </c>
      <c r="BA88" s="95">
        <f>SUM(BA19:BA87)</f>
        <v>184895.28895615131</v>
      </c>
    </row>
    <row r="89" spans="2:58">
      <c r="B89" s="60" t="s">
        <v>811</v>
      </c>
      <c r="AF89" s="55" t="str">
        <f>AF18</f>
        <v>CH4</v>
      </c>
      <c r="AG89" s="55" t="str">
        <f t="shared" ref="AG89:AY89" si="6">AG18</f>
        <v>CO2</v>
      </c>
      <c r="AH89" s="55" t="str">
        <f t="shared" si="6"/>
        <v>N2O</v>
      </c>
      <c r="AI89" s="55" t="str">
        <f t="shared" si="6"/>
        <v>HCFC-123/R123</v>
      </c>
      <c r="AJ89" s="55" t="str">
        <f t="shared" si="6"/>
        <v>R502</v>
      </c>
      <c r="AK89" s="55" t="str">
        <f t="shared" si="6"/>
        <v>HCFC-22/R22</v>
      </c>
      <c r="AL89" s="55" t="str">
        <f t="shared" si="6"/>
        <v>R407c</v>
      </c>
      <c r="AM89" s="55" t="str">
        <f t="shared" si="6"/>
        <v>HFC-404a/R404a</v>
      </c>
      <c r="AN89" s="55" t="str">
        <f t="shared" si="6"/>
        <v>HFC-134a/R134a</v>
      </c>
      <c r="AO89" s="55" t="str">
        <f t="shared" si="6"/>
        <v>HFC-410a/R410a</v>
      </c>
      <c r="AP89" s="55" t="str">
        <f t="shared" si="6"/>
        <v>R600a</v>
      </c>
      <c r="AQ89" s="55" t="str">
        <f t="shared" si="6"/>
        <v>R290</v>
      </c>
      <c r="AR89" s="55" t="str">
        <f t="shared" si="6"/>
        <v>R507</v>
      </c>
      <c r="AS89" s="55" t="str">
        <f t="shared" si="6"/>
        <v>R12</v>
      </c>
      <c r="AT89" s="55" t="str">
        <f t="shared" si="6"/>
        <v>R51a</v>
      </c>
      <c r="AU89" s="55" t="str">
        <f t="shared" si="6"/>
        <v>R514</v>
      </c>
      <c r="AV89" s="55" t="str">
        <f t="shared" si="6"/>
        <v>R141b</v>
      </c>
      <c r="AW89" s="55" t="str">
        <f t="shared" si="6"/>
        <v>SF6</v>
      </c>
      <c r="AX89" s="55" t="str">
        <f t="shared" si="6"/>
        <v>R170</v>
      </c>
      <c r="AY89" s="55" t="str">
        <f t="shared" si="6"/>
        <v>HFC-23/R23</v>
      </c>
    </row>
    <row r="92" spans="2:58">
      <c r="B92" s="61" t="s">
        <v>888</v>
      </c>
    </row>
    <row r="93" spans="2:58" ht="16.5" thickBot="1"/>
    <row r="94" spans="2:58" ht="16.5" thickBot="1">
      <c r="B94" s="58"/>
      <c r="C94" s="5" t="s">
        <v>889</v>
      </c>
    </row>
    <row r="95" spans="2:58" ht="16.5" thickBot="1">
      <c r="B95" s="59"/>
      <c r="C95" s="5" t="s">
        <v>890</v>
      </c>
    </row>
    <row r="96" spans="2:58" ht="16.5" thickBot="1"/>
    <row r="97" spans="6:18" ht="16.5" thickBot="1">
      <c r="F97" s="308" t="s">
        <v>1229</v>
      </c>
      <c r="G97" s="309"/>
      <c r="H97" s="309"/>
      <c r="I97" s="309"/>
      <c r="J97" s="309"/>
      <c r="K97" s="309"/>
      <c r="L97" s="309"/>
      <c r="M97" s="309"/>
      <c r="N97" s="309"/>
      <c r="O97" s="309"/>
      <c r="P97" s="309"/>
      <c r="Q97" s="309"/>
      <c r="R97" s="310"/>
    </row>
    <row r="98" spans="6:18" ht="16.5" thickBot="1">
      <c r="F98" s="343" t="s">
        <v>892</v>
      </c>
      <c r="G98" s="343"/>
      <c r="H98" s="86" t="s">
        <v>893</v>
      </c>
      <c r="I98" s="86" t="s">
        <v>259</v>
      </c>
      <c r="J98" s="86" t="s">
        <v>778</v>
      </c>
      <c r="K98" s="86" t="s">
        <v>261</v>
      </c>
      <c r="L98" s="86" t="s">
        <v>894</v>
      </c>
      <c r="M98" s="86" t="s">
        <v>895</v>
      </c>
      <c r="N98" s="86" t="s">
        <v>896</v>
      </c>
      <c r="O98" s="86" t="s">
        <v>897</v>
      </c>
      <c r="P98" s="86" t="s">
        <v>898</v>
      </c>
      <c r="Q98" s="86" t="s">
        <v>899</v>
      </c>
      <c r="R98" s="86" t="s">
        <v>900</v>
      </c>
    </row>
    <row r="99" spans="6:18" ht="16.5" thickBot="1">
      <c r="F99" s="343" t="s">
        <v>901</v>
      </c>
      <c r="G99" s="343"/>
      <c r="H99" s="87">
        <f>SUM(I99:R99)</f>
        <v>184895.28895615137</v>
      </c>
      <c r="I99" s="88">
        <f>AF88</f>
        <v>0</v>
      </c>
      <c r="J99" s="88">
        <f>AG88</f>
        <v>126.42692269281604</v>
      </c>
      <c r="K99" s="88">
        <f>AH88</f>
        <v>0</v>
      </c>
      <c r="L99" s="88">
        <v>0</v>
      </c>
      <c r="M99" s="88">
        <f>AM88+AN88+AO88+AY88</f>
        <v>5627.8181163633526</v>
      </c>
      <c r="N99" s="88">
        <f>AW88</f>
        <v>168010.30799999999</v>
      </c>
      <c r="O99" s="88">
        <v>0</v>
      </c>
      <c r="P99" s="88">
        <f>AI88+AK88</f>
        <v>3243.6667316397888</v>
      </c>
      <c r="Q99" s="88">
        <f>AS88</f>
        <v>2686.3492096454529</v>
      </c>
      <c r="R99" s="88">
        <f>AJ88+AL88+AP88+AQ88+AR88+AT88+AU88+AV88+AX88</f>
        <v>5200.7199758099814</v>
      </c>
    </row>
    <row r="100" spans="6:18" ht="16.5" thickBot="1">
      <c r="F100" s="343" t="s">
        <v>902</v>
      </c>
      <c r="G100" s="343"/>
      <c r="H100" s="87">
        <f t="shared" ref="H100:H101" si="7">SUM(I100:R100)</f>
        <v>0</v>
      </c>
      <c r="I100" s="88">
        <v>0</v>
      </c>
      <c r="J100" s="88">
        <v>0</v>
      </c>
      <c r="K100" s="88">
        <v>0</v>
      </c>
      <c r="L100" s="88">
        <v>0</v>
      </c>
      <c r="M100" s="88">
        <v>0</v>
      </c>
      <c r="N100" s="88">
        <v>0</v>
      </c>
      <c r="O100" s="88">
        <v>0</v>
      </c>
      <c r="P100" s="88">
        <v>0</v>
      </c>
      <c r="Q100" s="88">
        <v>0</v>
      </c>
      <c r="R100" s="88">
        <v>0</v>
      </c>
    </row>
    <row r="101" spans="6:18" ht="16.5" thickBot="1">
      <c r="F101" s="343" t="s">
        <v>903</v>
      </c>
      <c r="G101" s="343"/>
      <c r="H101" s="87">
        <f t="shared" si="7"/>
        <v>0</v>
      </c>
      <c r="I101" s="88">
        <v>0</v>
      </c>
      <c r="J101" s="88">
        <v>0</v>
      </c>
      <c r="K101" s="88">
        <v>0</v>
      </c>
      <c r="L101" s="88">
        <v>0</v>
      </c>
      <c r="M101" s="88">
        <v>0</v>
      </c>
      <c r="N101" s="88">
        <v>0</v>
      </c>
      <c r="O101" s="88">
        <v>0</v>
      </c>
      <c r="P101" s="88">
        <v>0</v>
      </c>
      <c r="Q101" s="88">
        <v>0</v>
      </c>
      <c r="R101" s="88">
        <v>0</v>
      </c>
    </row>
    <row r="102" spans="6:18" ht="16.5" thickBot="1">
      <c r="F102" s="345" t="s">
        <v>904</v>
      </c>
      <c r="G102" s="345"/>
      <c r="H102" s="345"/>
      <c r="I102" s="346"/>
      <c r="J102" s="346"/>
      <c r="K102" s="346"/>
      <c r="L102" s="346"/>
      <c r="M102" s="346"/>
      <c r="N102" s="346"/>
      <c r="O102" s="346"/>
      <c r="P102" s="346"/>
      <c r="Q102" s="346"/>
      <c r="R102" s="346"/>
    </row>
    <row r="103" spans="6:18" ht="16.5" thickBot="1">
      <c r="F103" s="345"/>
      <c r="G103" s="345"/>
      <c r="H103" s="345"/>
      <c r="I103" s="346"/>
      <c r="J103" s="346"/>
      <c r="K103" s="346"/>
      <c r="L103" s="346"/>
      <c r="M103" s="346"/>
      <c r="N103" s="346"/>
      <c r="O103" s="346"/>
      <c r="P103" s="346"/>
      <c r="Q103" s="346"/>
      <c r="R103" s="346"/>
    </row>
    <row r="104" spans="6:18" ht="16.5" thickBot="1">
      <c r="F104" s="345" t="s">
        <v>905</v>
      </c>
      <c r="G104" s="345"/>
      <c r="H104" s="345"/>
      <c r="I104" s="347" t="s">
        <v>893</v>
      </c>
      <c r="J104" s="331">
        <f>L104+L105</f>
        <v>2188.6999999999998</v>
      </c>
      <c r="K104" s="86" t="s">
        <v>906</v>
      </c>
      <c r="L104" s="88">
        <f>BB10</f>
        <v>2188.6999999999998</v>
      </c>
      <c r="M104" s="346"/>
      <c r="N104" s="346"/>
      <c r="O104" s="346"/>
      <c r="P104" s="346"/>
      <c r="Q104" s="346"/>
      <c r="R104" s="346"/>
    </row>
    <row r="105" spans="6:18" ht="16.5" thickBot="1">
      <c r="F105" s="345"/>
      <c r="G105" s="345"/>
      <c r="H105" s="345"/>
      <c r="I105" s="347"/>
      <c r="J105" s="332"/>
      <c r="K105" s="86" t="s">
        <v>907</v>
      </c>
      <c r="L105" s="88">
        <v>0</v>
      </c>
      <c r="M105" s="346"/>
      <c r="N105" s="346"/>
      <c r="O105" s="346"/>
      <c r="P105" s="346"/>
      <c r="Q105" s="346"/>
      <c r="R105" s="346"/>
    </row>
    <row r="106" spans="6:18" ht="16.5" thickBot="1">
      <c r="F106" s="90"/>
      <c r="G106" s="90"/>
      <c r="H106" s="90"/>
      <c r="I106" s="90"/>
      <c r="J106" s="90"/>
      <c r="K106" s="90"/>
      <c r="L106" s="90"/>
      <c r="M106" s="90"/>
      <c r="N106" s="90"/>
      <c r="O106" s="90"/>
      <c r="P106" s="90"/>
      <c r="Q106" s="90"/>
      <c r="R106" s="90"/>
    </row>
    <row r="107" spans="6:18" ht="16.5" thickBot="1">
      <c r="F107" s="344" t="s">
        <v>908</v>
      </c>
      <c r="G107" s="344"/>
      <c r="H107" s="91">
        <v>0</v>
      </c>
      <c r="I107"/>
      <c r="J107"/>
      <c r="K107" s="90"/>
      <c r="L107" s="90"/>
      <c r="M107" s="90"/>
      <c r="N107" s="90"/>
      <c r="O107" s="90"/>
      <c r="P107" s="90"/>
      <c r="Q107" s="90"/>
      <c r="R107" s="90"/>
    </row>
    <row r="108" spans="6:18" ht="16.5" thickBot="1">
      <c r="F108" s="344" t="s">
        <v>909</v>
      </c>
      <c r="G108" s="344"/>
      <c r="H108" s="91">
        <f>+SUM(H99:H101,H107)</f>
        <v>184895.28895615137</v>
      </c>
      <c r="I108" s="90"/>
      <c r="J108" s="90"/>
      <c r="K108" s="90"/>
      <c r="L108" s="90"/>
      <c r="M108" s="90"/>
      <c r="N108" s="90"/>
      <c r="O108" s="90"/>
      <c r="P108" s="90"/>
      <c r="Q108" s="90"/>
      <c r="R108" s="90"/>
    </row>
    <row r="116" spans="4:4">
      <c r="D116" s="211"/>
    </row>
  </sheetData>
  <mergeCells count="32">
    <mergeCell ref="I17:AE17"/>
    <mergeCell ref="BE17:BE18"/>
    <mergeCell ref="BF17:BF18"/>
    <mergeCell ref="B17:E17"/>
    <mergeCell ref="F17:F18"/>
    <mergeCell ref="G17:H17"/>
    <mergeCell ref="AF17:BB17"/>
    <mergeCell ref="BC17:BC18"/>
    <mergeCell ref="BD17:BD18"/>
    <mergeCell ref="BC7:BC8"/>
    <mergeCell ref="BD7:BD8"/>
    <mergeCell ref="BE7:BE8"/>
    <mergeCell ref="BF7:BF8"/>
    <mergeCell ref="B5:C5"/>
    <mergeCell ref="B7:E7"/>
    <mergeCell ref="F7:F8"/>
    <mergeCell ref="G7:H7"/>
    <mergeCell ref="AF7:BB7"/>
    <mergeCell ref="I7:AE7"/>
    <mergeCell ref="F97:R97"/>
    <mergeCell ref="F98:G98"/>
    <mergeCell ref="F99:G99"/>
    <mergeCell ref="F100:G100"/>
    <mergeCell ref="F101:G101"/>
    <mergeCell ref="F107:G107"/>
    <mergeCell ref="F108:G108"/>
    <mergeCell ref="F102:H103"/>
    <mergeCell ref="I102:R103"/>
    <mergeCell ref="F104:H105"/>
    <mergeCell ref="I104:I105"/>
    <mergeCell ref="J104:J105"/>
    <mergeCell ref="M104:R105"/>
  </mergeCells>
  <hyperlinks>
    <hyperlink ref="C1" location="'Información general'!A1" display="Inicio" xr:uid="{00000000-0004-0000-0700-000000000000}"/>
  </hyperlinks>
  <pageMargins left="0.7" right="0.7" top="0.75" bottom="0.75" header="0.3" footer="0.3"/>
  <pageSetup orientation="portrait" r:id="rId1"/>
  <drawing r:id="rId2"/>
  <legacy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7" tint="0.59999389629810485"/>
  </sheetPr>
  <dimension ref="A1:V82"/>
  <sheetViews>
    <sheetView showGridLines="0" topLeftCell="E57" zoomScale="55" zoomScaleNormal="55" workbookViewId="0">
      <selection activeCell="L60" sqref="L60"/>
    </sheetView>
  </sheetViews>
  <sheetFormatPr defaultColWidth="11.42578125" defaultRowHeight="15.75"/>
  <cols>
    <col min="1" max="2" width="11.42578125" style="55"/>
    <col min="3" max="3" width="46.85546875" style="55" customWidth="1"/>
    <col min="4" max="4" width="45.28515625" style="64" customWidth="1"/>
    <col min="5" max="5" width="56.85546875" style="55" customWidth="1"/>
    <col min="6" max="6" width="16.42578125" style="55" customWidth="1"/>
    <col min="7" max="7" width="15.140625" style="55" customWidth="1"/>
    <col min="8" max="8" width="14.85546875" style="55" customWidth="1"/>
    <col min="9" max="9" width="26.7109375" style="55" bestFit="1" customWidth="1"/>
    <col min="10" max="11" width="11.42578125" style="55"/>
    <col min="12" max="12" width="13.5703125" style="55" bestFit="1" customWidth="1"/>
    <col min="13" max="13" width="11.42578125" style="55"/>
    <col min="14" max="14" width="11.42578125" style="55" customWidth="1"/>
    <col min="15" max="15" width="13.28515625" style="55" customWidth="1"/>
    <col min="16" max="16" width="11.42578125" style="55"/>
    <col min="17" max="17" width="17.42578125" style="55" bestFit="1" customWidth="1"/>
    <col min="18" max="18" width="11.42578125" style="55"/>
    <col min="19" max="19" width="19.28515625" style="55" customWidth="1"/>
    <col min="20" max="20" width="46" style="55" customWidth="1"/>
    <col min="21" max="21" width="40.28515625" style="55" customWidth="1"/>
    <col min="22" max="22" width="45.140625" style="55" customWidth="1"/>
    <col min="23" max="23" width="57.85546875" style="55" customWidth="1"/>
    <col min="24" max="16384" width="11.42578125" style="55"/>
  </cols>
  <sheetData>
    <row r="1" spans="1:22" ht="18.75">
      <c r="C1" s="66" t="s">
        <v>21</v>
      </c>
    </row>
    <row r="3" spans="1:22" ht="19.5" thickBot="1">
      <c r="B3" s="62" t="s">
        <v>1230</v>
      </c>
      <c r="C3" s="6"/>
      <c r="D3" s="63"/>
      <c r="E3" s="6"/>
      <c r="F3" s="6"/>
      <c r="G3" s="6"/>
      <c r="H3" s="6"/>
      <c r="I3" s="6"/>
      <c r="J3" s="6"/>
      <c r="K3" s="6"/>
      <c r="L3" s="6"/>
      <c r="M3" s="6"/>
      <c r="N3" s="6"/>
      <c r="O3" s="6"/>
      <c r="P3" s="6"/>
      <c r="Q3" s="6"/>
      <c r="R3" s="6"/>
      <c r="S3" s="6"/>
      <c r="T3" s="6"/>
      <c r="U3" s="6"/>
      <c r="V3" s="6"/>
    </row>
    <row r="5" spans="1:22">
      <c r="B5" s="341" t="s">
        <v>1231</v>
      </c>
      <c r="C5" s="341"/>
    </row>
    <row r="6" spans="1:22" ht="16.5" thickBot="1"/>
    <row r="7" spans="1:22" ht="16.5" thickBot="1">
      <c r="B7" s="266" t="s">
        <v>764</v>
      </c>
      <c r="C7" s="266"/>
      <c r="D7" s="266"/>
      <c r="E7" s="266"/>
      <c r="F7" s="340" t="s">
        <v>765</v>
      </c>
      <c r="G7" s="266" t="s">
        <v>766</v>
      </c>
      <c r="H7" s="266"/>
      <c r="I7" s="308" t="s">
        <v>767</v>
      </c>
      <c r="J7" s="309"/>
      <c r="K7" s="309"/>
      <c r="L7" s="309"/>
      <c r="M7" s="310"/>
      <c r="N7" s="308" t="s">
        <v>768</v>
      </c>
      <c r="O7" s="309"/>
      <c r="P7" s="309"/>
      <c r="Q7" s="309"/>
      <c r="R7" s="310"/>
      <c r="S7" s="340" t="s">
        <v>769</v>
      </c>
      <c r="T7" s="340" t="s">
        <v>770</v>
      </c>
      <c r="U7" s="266" t="s">
        <v>771</v>
      </c>
      <c r="V7" s="266" t="s">
        <v>772</v>
      </c>
    </row>
    <row r="8" spans="1:22" ht="21" customHeight="1" thickBot="1">
      <c r="B8" s="51" t="s">
        <v>773</v>
      </c>
      <c r="C8" s="51" t="s">
        <v>774</v>
      </c>
      <c r="D8" s="54" t="s">
        <v>775</v>
      </c>
      <c r="E8" s="51" t="s">
        <v>24</v>
      </c>
      <c r="F8" s="340"/>
      <c r="G8" s="51" t="s">
        <v>776</v>
      </c>
      <c r="H8" s="51" t="s">
        <v>256</v>
      </c>
      <c r="I8" s="51" t="s">
        <v>777</v>
      </c>
      <c r="J8" s="51" t="s">
        <v>259</v>
      </c>
      <c r="K8" s="51" t="s">
        <v>778</v>
      </c>
      <c r="L8" s="51" t="s">
        <v>261</v>
      </c>
      <c r="M8" s="51" t="s">
        <v>779</v>
      </c>
      <c r="N8" s="51" t="s">
        <v>259</v>
      </c>
      <c r="O8" s="51" t="s">
        <v>778</v>
      </c>
      <c r="P8" s="51" t="s">
        <v>261</v>
      </c>
      <c r="Q8" s="51" t="s">
        <v>780</v>
      </c>
      <c r="R8" s="51" t="s">
        <v>779</v>
      </c>
      <c r="S8" s="340"/>
      <c r="T8" s="340"/>
      <c r="U8" s="266"/>
      <c r="V8" s="266"/>
    </row>
    <row r="9" spans="1:22" ht="79.5" hidden="1" thickBot="1">
      <c r="A9" s="56" t="s">
        <v>174</v>
      </c>
      <c r="B9" s="58">
        <v>1</v>
      </c>
      <c r="C9" s="53" t="s">
        <v>1232</v>
      </c>
      <c r="D9" s="53" t="s">
        <v>1233</v>
      </c>
      <c r="E9" s="53" t="s">
        <v>1234</v>
      </c>
      <c r="F9" s="52"/>
      <c r="G9" s="52">
        <v>1000</v>
      </c>
      <c r="H9" s="52" t="s">
        <v>1235</v>
      </c>
      <c r="I9" s="52" t="s">
        <v>1236</v>
      </c>
      <c r="J9" s="52">
        <v>111.7</v>
      </c>
      <c r="K9" s="52"/>
      <c r="L9" s="52"/>
      <c r="M9" s="52"/>
      <c r="N9" s="52">
        <f>G9*J9*21</f>
        <v>2345700</v>
      </c>
      <c r="O9" s="52">
        <f>G9*K9*1</f>
        <v>0</v>
      </c>
      <c r="P9" s="52">
        <f>G9*L9*310</f>
        <v>0</v>
      </c>
      <c r="Q9" s="52">
        <f>(N9+O9+P9)/1000</f>
        <v>2345.6999999999998</v>
      </c>
      <c r="R9" s="52"/>
      <c r="S9" s="52" t="s">
        <v>915</v>
      </c>
      <c r="T9" s="53" t="s">
        <v>1237</v>
      </c>
      <c r="U9" s="53" t="s">
        <v>1238</v>
      </c>
      <c r="V9" s="53" t="s">
        <v>1239</v>
      </c>
    </row>
    <row r="10" spans="1:22" ht="160.5" customHeight="1" thickBot="1">
      <c r="B10" s="58">
        <v>1</v>
      </c>
      <c r="C10" s="57" t="s">
        <v>1232</v>
      </c>
      <c r="D10" s="57" t="s">
        <v>1240</v>
      </c>
      <c r="E10" s="57" t="s">
        <v>1241</v>
      </c>
      <c r="F10" s="5"/>
      <c r="G10" s="81">
        <f>'4.5. AFOLU'!C205</f>
        <v>24.009999999999998</v>
      </c>
      <c r="H10" s="57" t="s">
        <v>1242</v>
      </c>
      <c r="I10" s="57" t="s">
        <v>341</v>
      </c>
      <c r="J10" s="5">
        <f>'1.3. Factores de emisión'!E78</f>
        <v>85.67</v>
      </c>
      <c r="K10" s="5"/>
      <c r="L10" s="5"/>
      <c r="M10" s="5"/>
      <c r="N10" s="83">
        <f>G10*J10*'1.3. Factores de emisión'!$E$162/1000</f>
        <v>43.195670699999994</v>
      </c>
      <c r="O10" s="5"/>
      <c r="P10" s="5"/>
      <c r="Q10" s="83">
        <f>SUM(N10:P10)</f>
        <v>43.195670699999994</v>
      </c>
      <c r="R10" s="5"/>
      <c r="S10" s="84" t="s">
        <v>793</v>
      </c>
      <c r="T10" s="84" t="s">
        <v>1243</v>
      </c>
      <c r="U10" s="84" t="s">
        <v>1244</v>
      </c>
      <c r="V10" s="84" t="s">
        <v>1245</v>
      </c>
    </row>
    <row r="11" spans="1:22" ht="148.5" customHeight="1" thickBot="1">
      <c r="B11" s="58">
        <v>1</v>
      </c>
      <c r="C11" s="57" t="s">
        <v>1232</v>
      </c>
      <c r="D11" s="57" t="s">
        <v>1240</v>
      </c>
      <c r="E11" s="57" t="s">
        <v>1246</v>
      </c>
      <c r="F11" s="5"/>
      <c r="G11" s="81">
        <f>'4.5. AFOLU'!C206</f>
        <v>216.09</v>
      </c>
      <c r="H11" s="57" t="s">
        <v>1247</v>
      </c>
      <c r="I11" s="57" t="s">
        <v>341</v>
      </c>
      <c r="J11" s="5">
        <f>'1.3. Factores de emisión'!E76</f>
        <v>85.8</v>
      </c>
      <c r="K11" s="5"/>
      <c r="L11" s="5"/>
      <c r="M11" s="5"/>
      <c r="N11" s="83">
        <f>G11*J11*'1.3. Factores de emisión'!$E$162/1000</f>
        <v>389.35096199999998</v>
      </c>
      <c r="O11" s="5"/>
      <c r="P11" s="5"/>
      <c r="Q11" s="83">
        <f t="shared" ref="Q11:Q16" si="0">SUM(N11:P11)</f>
        <v>389.35096199999998</v>
      </c>
      <c r="R11" s="5"/>
      <c r="S11" s="84" t="s">
        <v>793</v>
      </c>
      <c r="T11" s="84" t="s">
        <v>1243</v>
      </c>
      <c r="U11" s="84" t="s">
        <v>1244</v>
      </c>
      <c r="V11" s="84" t="s">
        <v>1245</v>
      </c>
    </row>
    <row r="12" spans="1:22" ht="147" customHeight="1" thickBot="1">
      <c r="B12" s="58">
        <v>1</v>
      </c>
      <c r="C12" s="57" t="s">
        <v>1232</v>
      </c>
      <c r="D12" s="57" t="s">
        <v>1240</v>
      </c>
      <c r="E12" s="57" t="s">
        <v>1248</v>
      </c>
      <c r="F12" s="5"/>
      <c r="G12" s="81">
        <f>'4.5. AFOLU'!C207</f>
        <v>4.41</v>
      </c>
      <c r="H12" s="57" t="s">
        <v>1249</v>
      </c>
      <c r="I12" s="57" t="s">
        <v>341</v>
      </c>
      <c r="J12" s="5">
        <f>'1.3. Factores de emisión'!E80</f>
        <v>111.7</v>
      </c>
      <c r="K12" s="5"/>
      <c r="L12" s="5"/>
      <c r="M12" s="5"/>
      <c r="N12" s="83">
        <f>G12*J12*'1.3. Factores de emisión'!$E$162/1000</f>
        <v>10.344537000000001</v>
      </c>
      <c r="O12" s="5"/>
      <c r="P12" s="5"/>
      <c r="Q12" s="83">
        <f t="shared" si="0"/>
        <v>10.344537000000001</v>
      </c>
      <c r="R12" s="5"/>
      <c r="S12" s="84" t="s">
        <v>793</v>
      </c>
      <c r="T12" s="84" t="s">
        <v>1243</v>
      </c>
      <c r="U12" s="84" t="s">
        <v>1244</v>
      </c>
      <c r="V12" s="84" t="s">
        <v>1245</v>
      </c>
    </row>
    <row r="13" spans="1:22" ht="144.75" customHeight="1" thickBot="1">
      <c r="B13" s="58">
        <v>1</v>
      </c>
      <c r="C13" s="57" t="s">
        <v>1232</v>
      </c>
      <c r="D13" s="57" t="s">
        <v>1240</v>
      </c>
      <c r="E13" s="57" t="s">
        <v>1250</v>
      </c>
      <c r="F13" s="5"/>
      <c r="G13" s="81">
        <f>'4.5. AFOLU'!C201</f>
        <v>245</v>
      </c>
      <c r="H13" s="178" t="s">
        <v>1251</v>
      </c>
      <c r="I13" s="57" t="s">
        <v>341</v>
      </c>
      <c r="J13" s="5">
        <f>'1.3. Factores de emisión'!E90</f>
        <v>1</v>
      </c>
      <c r="K13" s="5"/>
      <c r="L13" s="5"/>
      <c r="M13" s="5"/>
      <c r="N13" s="83">
        <f>G13*J13*'1.3. Factores de emisión'!$E$162/1000</f>
        <v>5.1449999999999996</v>
      </c>
      <c r="O13" s="5"/>
      <c r="P13" s="5"/>
      <c r="Q13" s="83">
        <f t="shared" si="0"/>
        <v>5.1449999999999996</v>
      </c>
      <c r="R13" s="5"/>
      <c r="S13" s="84" t="s">
        <v>793</v>
      </c>
      <c r="T13" s="84" t="s">
        <v>1243</v>
      </c>
      <c r="U13" s="84" t="s">
        <v>1244</v>
      </c>
      <c r="V13" s="84" t="s">
        <v>1245</v>
      </c>
    </row>
    <row r="14" spans="1:22" ht="147" customHeight="1" thickBot="1">
      <c r="B14" s="58">
        <v>1</v>
      </c>
      <c r="C14" s="57" t="s">
        <v>1232</v>
      </c>
      <c r="D14" s="57" t="s">
        <v>1252</v>
      </c>
      <c r="E14" s="57" t="s">
        <v>1253</v>
      </c>
      <c r="F14" s="5"/>
      <c r="G14" s="81">
        <f>'4.5. AFOLU'!C211</f>
        <v>43</v>
      </c>
      <c r="H14" s="179" t="s">
        <v>1254</v>
      </c>
      <c r="I14" s="57" t="s">
        <v>341</v>
      </c>
      <c r="J14" s="5">
        <f>'1.3. Factores de emisión'!E87</f>
        <v>18</v>
      </c>
      <c r="K14" s="5"/>
      <c r="L14" s="5"/>
      <c r="M14" s="5"/>
      <c r="N14" s="83">
        <f>G14*J14*'1.3. Factores de emisión'!$E$162/1000</f>
        <v>16.254000000000001</v>
      </c>
      <c r="O14" s="5"/>
      <c r="P14" s="5"/>
      <c r="Q14" s="83">
        <f t="shared" si="0"/>
        <v>16.254000000000001</v>
      </c>
      <c r="R14" s="5"/>
      <c r="S14" s="84" t="s">
        <v>793</v>
      </c>
      <c r="T14" s="84" t="s">
        <v>1243</v>
      </c>
      <c r="U14" s="84" t="s">
        <v>1244</v>
      </c>
      <c r="V14" s="84" t="s">
        <v>1245</v>
      </c>
    </row>
    <row r="15" spans="1:22" ht="148.5" customHeight="1" thickBot="1">
      <c r="B15" s="58">
        <v>1</v>
      </c>
      <c r="C15" s="57" t="s">
        <v>1232</v>
      </c>
      <c r="D15" s="57" t="s">
        <v>1255</v>
      </c>
      <c r="E15" s="57" t="s">
        <v>1256</v>
      </c>
      <c r="F15" s="5"/>
      <c r="G15" s="81">
        <f>'4.5. AFOLU'!C211</f>
        <v>43</v>
      </c>
      <c r="H15" s="178" t="s">
        <v>1254</v>
      </c>
      <c r="I15" s="57" t="s">
        <v>341</v>
      </c>
      <c r="J15" s="5">
        <f>'1.3. Factores de emisión'!E91</f>
        <v>1.64</v>
      </c>
      <c r="K15" s="5"/>
      <c r="L15" s="5"/>
      <c r="M15" s="5"/>
      <c r="N15" s="83">
        <f>G15*J15*'1.3. Factores de emisión'!$E$162/1000</f>
        <v>1.4809199999999998</v>
      </c>
      <c r="O15" s="5"/>
      <c r="P15" s="5"/>
      <c r="Q15" s="83">
        <f t="shared" si="0"/>
        <v>1.4809199999999998</v>
      </c>
      <c r="R15" s="5"/>
      <c r="S15" s="84" t="s">
        <v>793</v>
      </c>
      <c r="T15" s="84" t="s">
        <v>1243</v>
      </c>
      <c r="U15" s="84" t="s">
        <v>1244</v>
      </c>
      <c r="V15" s="84" t="s">
        <v>1245</v>
      </c>
    </row>
    <row r="16" spans="1:22" ht="145.5" customHeight="1" thickBot="1">
      <c r="B16" s="58">
        <v>1</v>
      </c>
      <c r="C16" s="57" t="s">
        <v>1232</v>
      </c>
      <c r="D16" s="57" t="s">
        <v>1257</v>
      </c>
      <c r="E16" s="57" t="s">
        <v>1258</v>
      </c>
      <c r="F16" s="5"/>
      <c r="G16" s="81">
        <f>'4.5. AFOLU'!C212</f>
        <v>30502</v>
      </c>
      <c r="H16" s="57" t="s">
        <v>1259</v>
      </c>
      <c r="I16" s="57" t="s">
        <v>341</v>
      </c>
      <c r="J16" s="5">
        <f>'1.3. Factores de emisión'!E94</f>
        <v>0.02</v>
      </c>
      <c r="K16" s="5"/>
      <c r="L16" s="5"/>
      <c r="M16" s="5"/>
      <c r="N16" s="83">
        <f>G16*J16*'1.3. Factores de emisión'!$E$162/1000</f>
        <v>12.810840000000001</v>
      </c>
      <c r="O16" s="5"/>
      <c r="P16" s="5"/>
      <c r="Q16" s="83">
        <f t="shared" si="0"/>
        <v>12.810840000000001</v>
      </c>
      <c r="R16" s="5"/>
      <c r="S16" s="84" t="s">
        <v>793</v>
      </c>
      <c r="T16" s="84" t="s">
        <v>1243</v>
      </c>
      <c r="U16" s="84" t="s">
        <v>1244</v>
      </c>
      <c r="V16" s="84" t="s">
        <v>1245</v>
      </c>
    </row>
    <row r="17" spans="2:22" ht="19.5" thickBot="1">
      <c r="C17" s="64"/>
      <c r="M17" s="69" t="s">
        <v>810</v>
      </c>
      <c r="N17" s="82">
        <f>SUM(N10:N16)</f>
        <v>478.58192969999999</v>
      </c>
      <c r="O17" s="82">
        <f>SUM(O10:O16)</f>
        <v>0</v>
      </c>
      <c r="P17" s="82">
        <f>SUM(P10:P16)</f>
        <v>0</v>
      </c>
      <c r="Q17" s="95">
        <f>SUM(Q10:Q16)</f>
        <v>478.58192969999999</v>
      </c>
      <c r="R17" s="82"/>
    </row>
    <row r="18" spans="2:22">
      <c r="B18" s="60" t="s">
        <v>811</v>
      </c>
    </row>
    <row r="21" spans="2:22">
      <c r="B21" s="341" t="s">
        <v>1260</v>
      </c>
      <c r="C21" s="341"/>
      <c r="D21" s="55"/>
    </row>
    <row r="22" spans="2:22" ht="16.5" thickBot="1"/>
    <row r="23" spans="2:22" ht="16.5" thickBot="1">
      <c r="B23" s="266" t="s">
        <v>764</v>
      </c>
      <c r="C23" s="266"/>
      <c r="D23" s="266"/>
      <c r="E23" s="266"/>
      <c r="F23" s="340" t="s">
        <v>765</v>
      </c>
      <c r="G23" s="266" t="s">
        <v>766</v>
      </c>
      <c r="H23" s="266"/>
      <c r="I23" s="308" t="s">
        <v>767</v>
      </c>
      <c r="J23" s="309"/>
      <c r="K23" s="309"/>
      <c r="L23" s="309"/>
      <c r="M23" s="310"/>
      <c r="N23" s="308" t="s">
        <v>768</v>
      </c>
      <c r="O23" s="309"/>
      <c r="P23" s="309"/>
      <c r="Q23" s="309"/>
      <c r="R23" s="310"/>
      <c r="S23" s="340" t="s">
        <v>769</v>
      </c>
      <c r="T23" s="340" t="s">
        <v>770</v>
      </c>
      <c r="U23" s="266" t="s">
        <v>771</v>
      </c>
      <c r="V23" s="266" t="s">
        <v>772</v>
      </c>
    </row>
    <row r="24" spans="2:22" ht="16.5" thickBot="1">
      <c r="B24" s="51" t="s">
        <v>773</v>
      </c>
      <c r="C24" s="51" t="s">
        <v>774</v>
      </c>
      <c r="D24" s="54" t="s">
        <v>775</v>
      </c>
      <c r="E24" s="51" t="s">
        <v>24</v>
      </c>
      <c r="F24" s="340"/>
      <c r="G24" s="51" t="s">
        <v>776</v>
      </c>
      <c r="H24" s="51" t="s">
        <v>256</v>
      </c>
      <c r="I24" s="51" t="s">
        <v>777</v>
      </c>
      <c r="J24" s="51" t="s">
        <v>259</v>
      </c>
      <c r="K24" s="51" t="s">
        <v>778</v>
      </c>
      <c r="L24" s="51" t="s">
        <v>261</v>
      </c>
      <c r="M24" s="51" t="s">
        <v>779</v>
      </c>
      <c r="N24" s="51" t="s">
        <v>259</v>
      </c>
      <c r="O24" s="51" t="s">
        <v>778</v>
      </c>
      <c r="P24" s="51" t="s">
        <v>261</v>
      </c>
      <c r="Q24" s="51" t="s">
        <v>780</v>
      </c>
      <c r="R24" s="51" t="s">
        <v>779</v>
      </c>
      <c r="S24" s="340"/>
      <c r="T24" s="340"/>
      <c r="U24" s="266"/>
      <c r="V24" s="266"/>
    </row>
    <row r="25" spans="2:22" ht="199.5" customHeight="1" thickBot="1">
      <c r="B25" s="58">
        <v>1</v>
      </c>
      <c r="C25" s="80" t="s">
        <v>1261</v>
      </c>
      <c r="D25" s="85" t="s">
        <v>1262</v>
      </c>
      <c r="E25" s="85" t="s">
        <v>1263</v>
      </c>
      <c r="F25" s="5"/>
      <c r="G25" s="81">
        <f>'4.5. AFOLU'!E261</f>
        <v>3027.4400000000005</v>
      </c>
      <c r="H25" s="85" t="s">
        <v>1264</v>
      </c>
      <c r="I25" s="85" t="s">
        <v>1265</v>
      </c>
      <c r="J25" s="5">
        <f>'1.3. Factores de emisión'!E142</f>
        <v>2.3E-3</v>
      </c>
      <c r="K25" s="5"/>
      <c r="L25" s="5">
        <f>'1.3. Factores de emisión'!G142</f>
        <v>2.0999999999999998E-4</v>
      </c>
      <c r="M25" s="83">
        <f>'1.3. Factores de emisión'!F142</f>
        <v>1.613</v>
      </c>
      <c r="N25" s="83">
        <f>G25*J25*'1.3. Factores de emisión'!E162/1000</f>
        <v>0.146225352</v>
      </c>
      <c r="O25" s="186"/>
      <c r="P25" s="186">
        <f>G25*L25*'1.3. Factores de emisión'!E163/1000</f>
        <v>0.19708634400000002</v>
      </c>
      <c r="Q25" s="186">
        <f>SUM(N25:P25)</f>
        <v>0.343311696</v>
      </c>
      <c r="R25" s="186">
        <f>G25*M25*1/1000</f>
        <v>4.8832607200000009</v>
      </c>
      <c r="S25" s="85" t="s">
        <v>915</v>
      </c>
      <c r="T25" s="85" t="s">
        <v>1266</v>
      </c>
      <c r="U25" s="85" t="s">
        <v>1267</v>
      </c>
      <c r="V25" s="85" t="s">
        <v>1268</v>
      </c>
    </row>
    <row r="26" spans="2:22" ht="48" thickBot="1">
      <c r="B26" s="188">
        <v>1</v>
      </c>
      <c r="C26" s="57" t="s">
        <v>1261</v>
      </c>
      <c r="D26" s="57" t="s">
        <v>1269</v>
      </c>
      <c r="E26" s="57" t="s">
        <v>1270</v>
      </c>
      <c r="F26" s="5"/>
      <c r="G26" s="121">
        <f>'4.5. AFOLU'!D282</f>
        <v>-138.66836628823606</v>
      </c>
      <c r="H26" s="5" t="s">
        <v>1271</v>
      </c>
      <c r="I26" s="18" t="s">
        <v>1272</v>
      </c>
      <c r="J26" s="121"/>
      <c r="K26" s="83">
        <f>'[1]4.5. ANEXOS AFOLU'!$N$387</f>
        <v>3.6666666666666665</v>
      </c>
      <c r="L26" s="5"/>
      <c r="M26" s="5"/>
      <c r="N26" s="5"/>
      <c r="O26" s="83">
        <f>-K26*G26</f>
        <v>508.45067639019885</v>
      </c>
      <c r="P26" s="83"/>
      <c r="Q26" s="83">
        <f t="shared" ref="Q26:Q27" si="1">SUM(N26:P26)</f>
        <v>508.45067639019885</v>
      </c>
      <c r="R26" s="5"/>
      <c r="S26" s="84" t="s">
        <v>793</v>
      </c>
      <c r="T26" s="179" t="s">
        <v>1273</v>
      </c>
      <c r="U26" s="57" t="s">
        <v>1274</v>
      </c>
      <c r="V26" s="57" t="s">
        <v>1275</v>
      </c>
    </row>
    <row r="27" spans="2:22" ht="48" thickBot="1">
      <c r="B27" s="188">
        <v>1</v>
      </c>
      <c r="C27" s="57" t="s">
        <v>1261</v>
      </c>
      <c r="D27" s="57" t="s">
        <v>1269</v>
      </c>
      <c r="E27" s="57" t="s">
        <v>1276</v>
      </c>
      <c r="F27" s="5"/>
      <c r="G27" s="81">
        <f>'4.5. AFOLU'!D283</f>
        <v>81.888505787840259</v>
      </c>
      <c r="H27" s="5" t="s">
        <v>1277</v>
      </c>
      <c r="I27" s="18" t="s">
        <v>1272</v>
      </c>
      <c r="J27" s="5"/>
      <c r="K27" s="83">
        <f>'[1]4.5. ANEXOS AFOLU'!$N$387</f>
        <v>3.6666666666666665</v>
      </c>
      <c r="L27" s="5"/>
      <c r="M27" s="5"/>
      <c r="N27" s="5"/>
      <c r="O27" s="83">
        <f t="shared" ref="O27" si="2">-K27*G27</f>
        <v>-300.25785455541427</v>
      </c>
      <c r="P27" s="83"/>
      <c r="Q27" s="83">
        <f t="shared" si="1"/>
        <v>-300.25785455541427</v>
      </c>
      <c r="R27" s="5"/>
      <c r="S27" s="84" t="s">
        <v>793</v>
      </c>
      <c r="T27" s="179" t="s">
        <v>1273</v>
      </c>
      <c r="U27" s="57" t="s">
        <v>1274</v>
      </c>
      <c r="V27" s="57" t="s">
        <v>1275</v>
      </c>
    </row>
    <row r="28" spans="2:22" ht="19.5" thickBot="1">
      <c r="C28" s="64"/>
      <c r="M28" s="69" t="s">
        <v>810</v>
      </c>
      <c r="N28" s="82">
        <f>SUM(N25:N27)</f>
        <v>0.146225352</v>
      </c>
      <c r="O28" s="82">
        <f>O26</f>
        <v>508.45067639019885</v>
      </c>
      <c r="P28" s="82">
        <f>SUM(P25:P27)</f>
        <v>0.19708634400000002</v>
      </c>
      <c r="Q28" s="95">
        <f>Q25+Q26</f>
        <v>508.79398808619885</v>
      </c>
      <c r="R28" s="82">
        <f>SUM(R25:R27)</f>
        <v>4.8832607200000009</v>
      </c>
    </row>
    <row r="29" spans="2:22">
      <c r="B29" s="60" t="s">
        <v>811</v>
      </c>
    </row>
    <row r="32" spans="2:22">
      <c r="B32" s="341" t="s">
        <v>1278</v>
      </c>
      <c r="C32" s="341"/>
    </row>
    <row r="33" spans="2:22" ht="16.5" thickBot="1"/>
    <row r="34" spans="2:22" ht="16.5" thickBot="1">
      <c r="B34" s="266" t="s">
        <v>764</v>
      </c>
      <c r="C34" s="266"/>
      <c r="D34" s="266"/>
      <c r="E34" s="266"/>
      <c r="F34" s="340" t="s">
        <v>765</v>
      </c>
      <c r="G34" s="266" t="s">
        <v>766</v>
      </c>
      <c r="H34" s="266"/>
      <c r="I34" s="308" t="s">
        <v>767</v>
      </c>
      <c r="J34" s="309"/>
      <c r="K34" s="309"/>
      <c r="L34" s="309"/>
      <c r="M34" s="310"/>
      <c r="N34" s="308" t="s">
        <v>768</v>
      </c>
      <c r="O34" s="309"/>
      <c r="P34" s="309"/>
      <c r="Q34" s="309"/>
      <c r="R34" s="310"/>
      <c r="S34" s="340" t="s">
        <v>769</v>
      </c>
      <c r="T34" s="340" t="s">
        <v>770</v>
      </c>
      <c r="U34" s="266" t="s">
        <v>771</v>
      </c>
      <c r="V34" s="266" t="s">
        <v>772</v>
      </c>
    </row>
    <row r="35" spans="2:22" ht="16.5" thickBot="1">
      <c r="B35" s="51" t="s">
        <v>773</v>
      </c>
      <c r="C35" s="51" t="s">
        <v>774</v>
      </c>
      <c r="D35" s="54" t="s">
        <v>775</v>
      </c>
      <c r="E35" s="51" t="s">
        <v>24</v>
      </c>
      <c r="F35" s="340"/>
      <c r="G35" s="51" t="s">
        <v>776</v>
      </c>
      <c r="H35" s="51" t="s">
        <v>256</v>
      </c>
      <c r="I35" s="51" t="s">
        <v>777</v>
      </c>
      <c r="J35" s="51" t="s">
        <v>259</v>
      </c>
      <c r="K35" s="51" t="s">
        <v>778</v>
      </c>
      <c r="L35" s="51" t="s">
        <v>261</v>
      </c>
      <c r="M35" s="51" t="s">
        <v>779</v>
      </c>
      <c r="N35" s="51" t="s">
        <v>259</v>
      </c>
      <c r="O35" s="51" t="s">
        <v>778</v>
      </c>
      <c r="P35" s="51" t="s">
        <v>261</v>
      </c>
      <c r="Q35" s="51" t="s">
        <v>780</v>
      </c>
      <c r="R35" s="51" t="s">
        <v>779</v>
      </c>
      <c r="S35" s="340"/>
      <c r="T35" s="340"/>
      <c r="U35" s="266"/>
      <c r="V35" s="266"/>
    </row>
    <row r="36" spans="2:22" ht="124.5" customHeight="1" thickBot="1">
      <c r="B36" s="58">
        <v>1</v>
      </c>
      <c r="C36" s="57" t="s">
        <v>1279</v>
      </c>
      <c r="D36" s="57" t="s">
        <v>1280</v>
      </c>
      <c r="E36" s="57" t="s">
        <v>1281</v>
      </c>
      <c r="F36" s="5"/>
      <c r="G36" s="81">
        <f>'4.5. AFOLU'!C11</f>
        <v>8.9285714285714281E-3</v>
      </c>
      <c r="H36" s="115" t="s">
        <v>1282</v>
      </c>
      <c r="I36" s="5" t="s">
        <v>367</v>
      </c>
      <c r="J36" s="5"/>
      <c r="K36" s="5"/>
      <c r="L36" s="81">
        <f>'1.3. Factores de emisión'!G109</f>
        <v>15.707736000000001</v>
      </c>
      <c r="M36" s="5"/>
      <c r="N36" s="5"/>
      <c r="O36" s="83"/>
      <c r="P36" s="82">
        <f>(G36*L36*'1.3. Factores de emisión'!$E$163*(44/28))/1000</f>
        <v>6.8320637448979593E-2</v>
      </c>
      <c r="Q36" s="82">
        <f>SUM(N36:P36)</f>
        <v>6.8320637448979593E-2</v>
      </c>
      <c r="R36" s="5"/>
      <c r="S36" s="84" t="s">
        <v>915</v>
      </c>
      <c r="T36" s="84" t="s">
        <v>1283</v>
      </c>
      <c r="U36" s="84" t="s">
        <v>1284</v>
      </c>
      <c r="V36" s="84" t="s">
        <v>1285</v>
      </c>
    </row>
    <row r="37" spans="2:22" ht="121.5" customHeight="1" thickBot="1">
      <c r="B37" s="58">
        <v>1</v>
      </c>
      <c r="C37" s="57" t="s">
        <v>1279</v>
      </c>
      <c r="D37" s="57" t="s">
        <v>1286</v>
      </c>
      <c r="E37" s="57" t="s">
        <v>1287</v>
      </c>
      <c r="F37" s="5"/>
      <c r="G37" s="81">
        <f>'4.5. AFOLU'!C12</f>
        <v>1.1245748299319729</v>
      </c>
      <c r="H37" s="115" t="s">
        <v>1282</v>
      </c>
      <c r="I37" s="5" t="s">
        <v>367</v>
      </c>
      <c r="J37" s="5"/>
      <c r="K37" s="5"/>
      <c r="L37" s="81">
        <f>'1.3. Factores de emisión'!G110</f>
        <v>0.37420600000000004</v>
      </c>
      <c r="M37" s="5"/>
      <c r="N37" s="5"/>
      <c r="O37" s="5"/>
      <c r="P37" s="82">
        <f>(G37*L37*'1.3. Factores de emisión'!$E$163*(44/28))/1000</f>
        <v>0.20500074749149663</v>
      </c>
      <c r="Q37" s="82">
        <f t="shared" ref="Q37:Q55" si="3">SUM(N37:P37)</f>
        <v>0.20500074749149663</v>
      </c>
      <c r="R37" s="5"/>
      <c r="S37" s="84" t="s">
        <v>915</v>
      </c>
      <c r="T37" s="84" t="s">
        <v>1288</v>
      </c>
      <c r="U37" s="84" t="s">
        <v>1284</v>
      </c>
      <c r="V37" s="84" t="s">
        <v>1285</v>
      </c>
    </row>
    <row r="38" spans="2:22" ht="87" customHeight="1" thickBot="1">
      <c r="B38" s="58">
        <v>1</v>
      </c>
      <c r="C38" s="57" t="s">
        <v>1279</v>
      </c>
      <c r="D38" s="57" t="s">
        <v>1289</v>
      </c>
      <c r="E38" s="57" t="s">
        <v>1290</v>
      </c>
      <c r="F38" s="5"/>
      <c r="G38" s="81">
        <f>'4.5. AFOLU'!C13</f>
        <v>7.4999999999999983E-2</v>
      </c>
      <c r="H38" s="115" t="s">
        <v>1282</v>
      </c>
      <c r="I38" s="5" t="s">
        <v>367</v>
      </c>
      <c r="J38" s="5"/>
      <c r="K38" s="5"/>
      <c r="L38" s="81">
        <f>'1.3. Factores de emisión'!G99</f>
        <v>4.8499999999999996</v>
      </c>
      <c r="M38" s="5"/>
      <c r="N38" s="5"/>
      <c r="O38" s="5"/>
      <c r="P38" s="82">
        <f>(G38*L38*'1.3. Factores de emisión'!$E$163*(44/28))/1000</f>
        <v>0.17719821428571425</v>
      </c>
      <c r="Q38" s="82">
        <f t="shared" si="3"/>
        <v>0.17719821428571425</v>
      </c>
      <c r="R38" s="5"/>
      <c r="S38" s="84" t="s">
        <v>793</v>
      </c>
      <c r="T38" s="84" t="s">
        <v>1291</v>
      </c>
      <c r="U38" s="84" t="s">
        <v>955</v>
      </c>
      <c r="V38" s="84" t="s">
        <v>796</v>
      </c>
    </row>
    <row r="39" spans="2:22" ht="94.5" customHeight="1" thickBot="1">
      <c r="B39" s="58">
        <v>1</v>
      </c>
      <c r="C39" s="57" t="s">
        <v>1279</v>
      </c>
      <c r="D39" s="57" t="s">
        <v>1292</v>
      </c>
      <c r="E39" s="57" t="s">
        <v>1293</v>
      </c>
      <c r="F39" s="5"/>
      <c r="G39" s="81">
        <f>'4.5. AFOLU'!C14</f>
        <v>15.999999999999996</v>
      </c>
      <c r="H39" s="115" t="s">
        <v>1282</v>
      </c>
      <c r="I39" s="5" t="s">
        <v>367</v>
      </c>
      <c r="J39" s="5"/>
      <c r="K39" s="5"/>
      <c r="L39" s="5">
        <f>'1.3. Factores de emisión'!G97</f>
        <v>2.92</v>
      </c>
      <c r="M39" s="5"/>
      <c r="N39" s="5"/>
      <c r="O39" s="83"/>
      <c r="P39" s="82">
        <f>(G39*L39*'1.3. Factores de emisión'!$E$163*(44/28))/1000</f>
        <v>22.759314285714282</v>
      </c>
      <c r="Q39" s="82">
        <f>SUM(N39:P39)</f>
        <v>22.759314285714282</v>
      </c>
      <c r="R39" s="5"/>
      <c r="S39" s="84" t="s">
        <v>793</v>
      </c>
      <c r="T39" s="84" t="s">
        <v>1294</v>
      </c>
      <c r="U39" s="84" t="s">
        <v>955</v>
      </c>
      <c r="V39" s="84" t="s">
        <v>796</v>
      </c>
    </row>
    <row r="40" spans="2:22" ht="119.25" customHeight="1" thickBot="1">
      <c r="B40" s="58">
        <v>1</v>
      </c>
      <c r="C40" s="57" t="s">
        <v>1279</v>
      </c>
      <c r="D40" s="57" t="s">
        <v>1295</v>
      </c>
      <c r="E40" s="57" t="s">
        <v>1296</v>
      </c>
      <c r="F40" s="5"/>
      <c r="G40" s="81">
        <f>'4.5. AFOLU'!C15</f>
        <v>1.7857142857142854E-3</v>
      </c>
      <c r="H40" s="115" t="s">
        <v>1282</v>
      </c>
      <c r="I40" s="5" t="s">
        <v>367</v>
      </c>
      <c r="J40" s="5"/>
      <c r="K40" s="5"/>
      <c r="L40" s="81">
        <f>'1.3. Factores de emisión'!G111</f>
        <v>0.42499999999999999</v>
      </c>
      <c r="M40" s="5"/>
      <c r="N40" s="5"/>
      <c r="O40" s="5"/>
      <c r="P40" s="82">
        <f>(G40*L40*'1.3. Factores de emisión'!$E$163*(44/28))/1000</f>
        <v>3.6970663265306121E-4</v>
      </c>
      <c r="Q40" s="82">
        <f t="shared" si="3"/>
        <v>3.6970663265306121E-4</v>
      </c>
      <c r="R40" s="5"/>
      <c r="S40" s="84" t="s">
        <v>915</v>
      </c>
      <c r="T40" s="84" t="s">
        <v>1297</v>
      </c>
      <c r="U40" s="84" t="s">
        <v>1284</v>
      </c>
      <c r="V40" s="84" t="s">
        <v>1285</v>
      </c>
    </row>
    <row r="41" spans="2:22" ht="93.75" customHeight="1" thickBot="1">
      <c r="B41" s="58">
        <v>1</v>
      </c>
      <c r="C41" s="57" t="s">
        <v>1279</v>
      </c>
      <c r="D41" s="57" t="s">
        <v>1298</v>
      </c>
      <c r="E41" s="57" t="s">
        <v>1299</v>
      </c>
      <c r="F41" s="5"/>
      <c r="G41" s="81">
        <f>'4.5. AFOLU'!C16</f>
        <v>3.9323979591836729</v>
      </c>
      <c r="H41" s="115" t="s">
        <v>1282</v>
      </c>
      <c r="I41" s="5" t="s">
        <v>367</v>
      </c>
      <c r="J41" s="5"/>
      <c r="K41" s="5"/>
      <c r="L41" s="5">
        <f>'1.3. Factores de emisión'!G101</f>
        <v>2.61</v>
      </c>
      <c r="M41" s="5"/>
      <c r="N41" s="5"/>
      <c r="O41" s="5"/>
      <c r="P41" s="82">
        <f>(G41*L41*'1.3. Factores de emisión'!$E$163*(44/28))/1000</f>
        <v>4.999819296647229</v>
      </c>
      <c r="Q41" s="82">
        <f t="shared" si="3"/>
        <v>4.999819296647229</v>
      </c>
      <c r="R41" s="5"/>
      <c r="S41" s="84" t="s">
        <v>793</v>
      </c>
      <c r="T41" s="84" t="s">
        <v>1300</v>
      </c>
      <c r="U41" s="84" t="s">
        <v>955</v>
      </c>
      <c r="V41" s="84" t="s">
        <v>796</v>
      </c>
    </row>
    <row r="42" spans="2:22" ht="123" customHeight="1" thickBot="1">
      <c r="B42" s="58">
        <v>1</v>
      </c>
      <c r="C42" s="57" t="s">
        <v>1279</v>
      </c>
      <c r="D42" s="57" t="s">
        <v>1301</v>
      </c>
      <c r="E42" s="57" t="s">
        <v>1302</v>
      </c>
      <c r="F42" s="5"/>
      <c r="G42" s="81">
        <f>'4.5. AFOLU'!C17</f>
        <v>0.89668367346938749</v>
      </c>
      <c r="H42" s="115" t="s">
        <v>1282</v>
      </c>
      <c r="I42" s="5" t="s">
        <v>367</v>
      </c>
      <c r="J42" s="5"/>
      <c r="K42" s="5"/>
      <c r="L42" s="81">
        <f>'1.3. Factores de emisión'!G112</f>
        <v>2.95</v>
      </c>
      <c r="M42" s="5"/>
      <c r="N42" s="5"/>
      <c r="O42" s="5"/>
      <c r="P42" s="82">
        <f>(G42*L42*'1.3. Factores de emisión'!$E$163*(44/28))/1000</f>
        <v>1.2885984876093288</v>
      </c>
      <c r="Q42" s="82">
        <f t="shared" si="3"/>
        <v>1.2885984876093288</v>
      </c>
      <c r="R42" s="5"/>
      <c r="S42" s="84" t="s">
        <v>915</v>
      </c>
      <c r="T42" s="84" t="s">
        <v>1303</v>
      </c>
      <c r="U42" s="84" t="s">
        <v>1284</v>
      </c>
      <c r="V42" s="84" t="s">
        <v>1285</v>
      </c>
    </row>
    <row r="43" spans="2:22" ht="133.5" customHeight="1" thickBot="1">
      <c r="B43" s="58">
        <v>1</v>
      </c>
      <c r="C43" s="57" t="s">
        <v>1279</v>
      </c>
      <c r="D43" s="57" t="s">
        <v>1304</v>
      </c>
      <c r="E43" s="57" t="s">
        <v>1305</v>
      </c>
      <c r="F43" s="5"/>
      <c r="G43" s="81">
        <f>'4.5. AFOLU'!C18</f>
        <v>1.4807380952380949</v>
      </c>
      <c r="H43" s="115" t="s">
        <v>1282</v>
      </c>
      <c r="I43" s="5" t="s">
        <v>367</v>
      </c>
      <c r="J43" s="5"/>
      <c r="K43" s="5"/>
      <c r="L43" s="81">
        <f>'1.3. Factores de emisión'!G113</f>
        <v>1.8000000000000002E-2</v>
      </c>
      <c r="M43" s="5"/>
      <c r="N43" s="5"/>
      <c r="O43" s="5"/>
      <c r="P43" s="82">
        <f>(G43*L43*'1.3. Factores de emisión'!$E$163*(44/28))/1000</f>
        <v>1.2983957755102037E-2</v>
      </c>
      <c r="Q43" s="82">
        <f t="shared" si="3"/>
        <v>1.2983957755102037E-2</v>
      </c>
      <c r="R43" s="5"/>
      <c r="S43" s="84" t="s">
        <v>915</v>
      </c>
      <c r="T43" s="84" t="s">
        <v>1306</v>
      </c>
      <c r="U43" s="84" t="s">
        <v>1284</v>
      </c>
      <c r="V43" s="84" t="s">
        <v>1285</v>
      </c>
    </row>
    <row r="44" spans="2:22" ht="129" customHeight="1" thickBot="1">
      <c r="B44" s="58">
        <v>1</v>
      </c>
      <c r="C44" s="57" t="s">
        <v>1279</v>
      </c>
      <c r="D44" s="57" t="s">
        <v>1307</v>
      </c>
      <c r="E44" s="57" t="s">
        <v>1308</v>
      </c>
      <c r="F44" s="5"/>
      <c r="G44" s="81">
        <f>'4.5. AFOLU'!C19</f>
        <v>0.16326530612244897</v>
      </c>
      <c r="H44" s="115" t="s">
        <v>1282</v>
      </c>
      <c r="I44" s="5" t="s">
        <v>367</v>
      </c>
      <c r="J44" s="5"/>
      <c r="K44" s="5"/>
      <c r="L44" s="81">
        <f>'1.3. Factores de emisión'!G114</f>
        <v>9.5880000000000007E-2</v>
      </c>
      <c r="M44" s="5"/>
      <c r="N44" s="5"/>
      <c r="O44" s="5"/>
      <c r="P44" s="82">
        <f>(G44*L44*'1.3. Factores de emisión'!$E$163*(44/28))/1000</f>
        <v>7.6256746355685126E-3</v>
      </c>
      <c r="Q44" s="82">
        <f t="shared" si="3"/>
        <v>7.6256746355685126E-3</v>
      </c>
      <c r="R44" s="5"/>
      <c r="S44" s="84" t="s">
        <v>915</v>
      </c>
      <c r="T44" s="84" t="s">
        <v>1309</v>
      </c>
      <c r="U44" s="84" t="s">
        <v>1284</v>
      </c>
      <c r="V44" s="84" t="s">
        <v>1285</v>
      </c>
    </row>
    <row r="45" spans="2:22" ht="123" customHeight="1" thickBot="1">
      <c r="B45" s="58">
        <v>1</v>
      </c>
      <c r="C45" s="57" t="s">
        <v>1279</v>
      </c>
      <c r="D45" s="57" t="s">
        <v>1310</v>
      </c>
      <c r="E45" s="57" t="s">
        <v>1311</v>
      </c>
      <c r="F45" s="5"/>
      <c r="G45" s="81">
        <f>'4.5. AFOLU'!C20</f>
        <v>7.4999999999999983E-2</v>
      </c>
      <c r="H45" s="115" t="s">
        <v>1282</v>
      </c>
      <c r="I45" s="5" t="s">
        <v>367</v>
      </c>
      <c r="J45" s="5"/>
      <c r="K45" s="5"/>
      <c r="L45" s="81">
        <f>'1.3. Factores de emisión'!G115</f>
        <v>9.641688000000002</v>
      </c>
      <c r="M45" s="5"/>
      <c r="N45" s="5"/>
      <c r="O45" s="5"/>
      <c r="P45" s="82">
        <f>(G45*L45*'1.3. Factores de emisión'!$E$163*(44/28))/1000</f>
        <v>0.35226595799999993</v>
      </c>
      <c r="Q45" s="82">
        <f t="shared" si="3"/>
        <v>0.35226595799999993</v>
      </c>
      <c r="R45" s="5"/>
      <c r="S45" s="84" t="s">
        <v>915</v>
      </c>
      <c r="T45" s="84" t="s">
        <v>1312</v>
      </c>
      <c r="U45" s="84" t="s">
        <v>1284</v>
      </c>
      <c r="V45" s="84" t="s">
        <v>1285</v>
      </c>
    </row>
    <row r="46" spans="2:22" ht="123.75" customHeight="1" thickBot="1">
      <c r="B46" s="58">
        <v>1</v>
      </c>
      <c r="C46" s="57" t="s">
        <v>1279</v>
      </c>
      <c r="D46" s="57" t="s">
        <v>1313</v>
      </c>
      <c r="E46" s="57" t="s">
        <v>1314</v>
      </c>
      <c r="F46" s="5"/>
      <c r="G46" s="81">
        <f>'4.5. AFOLU'!C21</f>
        <v>1.2089285714285714</v>
      </c>
      <c r="H46" s="115" t="s">
        <v>1282</v>
      </c>
      <c r="I46" s="5" t="s">
        <v>367</v>
      </c>
      <c r="J46" s="5"/>
      <c r="K46" s="5"/>
      <c r="L46" s="81">
        <f>'1.3. Factores de emisión'!G120</f>
        <v>6.7500000000000004E-2</v>
      </c>
      <c r="M46" s="5"/>
      <c r="N46" s="5"/>
      <c r="O46" s="5"/>
      <c r="P46" s="82">
        <f>(G46*L46*'1.3. Factores de emisión'!$E$163*(44/28))/1000</f>
        <v>3.9752161989795913E-2</v>
      </c>
      <c r="Q46" s="82">
        <f t="shared" si="3"/>
        <v>3.9752161989795913E-2</v>
      </c>
      <c r="R46" s="5"/>
      <c r="S46" s="84" t="s">
        <v>793</v>
      </c>
      <c r="T46" s="84" t="s">
        <v>1315</v>
      </c>
      <c r="U46" s="84" t="s">
        <v>955</v>
      </c>
      <c r="V46" s="84" t="s">
        <v>796</v>
      </c>
    </row>
    <row r="47" spans="2:22" ht="115.5" customHeight="1" thickBot="1">
      <c r="B47" s="58">
        <v>1</v>
      </c>
      <c r="C47" s="57" t="s">
        <v>1279</v>
      </c>
      <c r="D47" s="57" t="s">
        <v>1316</v>
      </c>
      <c r="E47" s="57" t="s">
        <v>1317</v>
      </c>
      <c r="F47" s="5"/>
      <c r="G47" s="81">
        <f>'4.5. AFOLU'!C22</f>
        <v>1.4169217687074829</v>
      </c>
      <c r="H47" s="115" t="s">
        <v>1282</v>
      </c>
      <c r="I47" s="5" t="s">
        <v>367</v>
      </c>
      <c r="J47" s="5"/>
      <c r="K47" s="5"/>
      <c r="L47" s="81">
        <f>'1.3. Factores de emisión'!G116</f>
        <v>0.72</v>
      </c>
      <c r="M47" s="5"/>
      <c r="N47" s="5"/>
      <c r="O47" s="5"/>
      <c r="P47" s="82">
        <f>(G47*L47*'1.3. Factores de emisión'!$E$163*(44/28))/1000</f>
        <v>0.49697518950437308</v>
      </c>
      <c r="Q47" s="82">
        <f t="shared" si="3"/>
        <v>0.49697518950437308</v>
      </c>
      <c r="R47" s="5"/>
      <c r="S47" s="84" t="s">
        <v>915</v>
      </c>
      <c r="T47" s="84" t="s">
        <v>1318</v>
      </c>
      <c r="U47" s="84" t="s">
        <v>1284</v>
      </c>
      <c r="V47" s="84" t="s">
        <v>1285</v>
      </c>
    </row>
    <row r="48" spans="2:22" ht="78" customHeight="1" thickBot="1">
      <c r="B48" s="58">
        <v>1</v>
      </c>
      <c r="C48" s="57" t="s">
        <v>1279</v>
      </c>
      <c r="D48" s="57" t="s">
        <v>1319</v>
      </c>
      <c r="E48" s="57" t="s">
        <v>1320</v>
      </c>
      <c r="F48" s="5"/>
      <c r="G48" s="81">
        <f>'4.5. AFOLU'!C23</f>
        <v>1.1428571428571428</v>
      </c>
      <c r="H48" s="115" t="s">
        <v>1282</v>
      </c>
      <c r="I48" s="5" t="s">
        <v>367</v>
      </c>
      <c r="J48" s="5"/>
      <c r="K48" s="5"/>
      <c r="L48" s="81">
        <f>'1.3. Factores de emisión'!G121</f>
        <v>0.10125000000000001</v>
      </c>
      <c r="M48" s="5"/>
      <c r="N48" s="5"/>
      <c r="O48" s="5"/>
      <c r="P48" s="82">
        <f>(G48*L48*'1.3. Factores de emisión'!$E$163*(44/28))/1000</f>
        <v>5.6369387755102043E-2</v>
      </c>
      <c r="Q48" s="82">
        <f t="shared" si="3"/>
        <v>5.6369387755102043E-2</v>
      </c>
      <c r="R48" s="5"/>
      <c r="S48" s="84" t="s">
        <v>793</v>
      </c>
      <c r="T48" s="84" t="s">
        <v>1321</v>
      </c>
      <c r="U48" s="84" t="s">
        <v>955</v>
      </c>
      <c r="V48" s="84" t="s">
        <v>796</v>
      </c>
    </row>
    <row r="49" spans="2:22" ht="102.75" customHeight="1" thickBot="1">
      <c r="B49" s="58">
        <v>1</v>
      </c>
      <c r="C49" s="57" t="s">
        <v>1279</v>
      </c>
      <c r="D49" s="57" t="s">
        <v>1322</v>
      </c>
      <c r="E49" s="57" t="s">
        <v>1323</v>
      </c>
      <c r="F49" s="5"/>
      <c r="G49" s="81">
        <f>'4.5. AFOLU'!C24</f>
        <v>0.24489795918367344</v>
      </c>
      <c r="H49" s="115" t="s">
        <v>1282</v>
      </c>
      <c r="I49" s="5" t="s">
        <v>367</v>
      </c>
      <c r="J49" s="5"/>
      <c r="K49" s="5"/>
      <c r="L49" s="81">
        <f>'1.3. Factores de emisión'!G102</f>
        <v>7.86</v>
      </c>
      <c r="M49" s="5"/>
      <c r="N49" s="5"/>
      <c r="O49" s="5"/>
      <c r="P49" s="82">
        <f>(G49*L49*'1.3. Factores de emisión'!$E$163*(44/28))/1000</f>
        <v>0.93770029154518941</v>
      </c>
      <c r="Q49" s="82">
        <f t="shared" si="3"/>
        <v>0.93770029154518941</v>
      </c>
      <c r="R49" s="5"/>
      <c r="S49" s="84" t="s">
        <v>793</v>
      </c>
      <c r="T49" s="84" t="s">
        <v>1324</v>
      </c>
      <c r="U49" s="84" t="s">
        <v>955</v>
      </c>
      <c r="V49" s="84" t="s">
        <v>796</v>
      </c>
    </row>
    <row r="50" spans="2:22" ht="78.75" customHeight="1" thickBot="1">
      <c r="B50" s="58">
        <v>1</v>
      </c>
      <c r="C50" s="57" t="s">
        <v>1279</v>
      </c>
      <c r="D50" s="57" t="s">
        <v>1325</v>
      </c>
      <c r="E50" s="57" t="s">
        <v>1326</v>
      </c>
      <c r="F50" s="5"/>
      <c r="G50" s="81">
        <f>'4.5. AFOLU'!C25</f>
        <v>1.3061224489795917</v>
      </c>
      <c r="H50" s="115" t="s">
        <v>1282</v>
      </c>
      <c r="I50" s="5" t="s">
        <v>367</v>
      </c>
      <c r="J50" s="5"/>
      <c r="K50" s="5"/>
      <c r="L50" s="81">
        <f>'1.3. Factores de emisión'!G122</f>
        <v>19.730763</v>
      </c>
      <c r="M50" s="5"/>
      <c r="N50" s="5"/>
      <c r="O50" s="5"/>
      <c r="P50" s="82">
        <f>(G50*L50*'1.3. Factores de emisión'!$E$163*(44/28))/1000</f>
        <v>12.554057484314868</v>
      </c>
      <c r="Q50" s="82">
        <f t="shared" si="3"/>
        <v>12.554057484314868</v>
      </c>
      <c r="R50" s="5"/>
      <c r="S50" s="84" t="s">
        <v>793</v>
      </c>
      <c r="T50" s="84" t="s">
        <v>1327</v>
      </c>
      <c r="U50" s="84" t="s">
        <v>955</v>
      </c>
      <c r="V50" s="84" t="s">
        <v>796</v>
      </c>
    </row>
    <row r="51" spans="2:22" ht="113.25" customHeight="1" thickBot="1">
      <c r="B51" s="58">
        <v>1</v>
      </c>
      <c r="C51" s="57" t="s">
        <v>1279</v>
      </c>
      <c r="D51" s="57" t="s">
        <v>1328</v>
      </c>
      <c r="E51" s="57" t="s">
        <v>1329</v>
      </c>
      <c r="F51" s="5"/>
      <c r="G51" s="81">
        <f>'4.5. AFOLU'!C26</f>
        <v>0.16326530612244897</v>
      </c>
      <c r="H51" s="115" t="s">
        <v>1282</v>
      </c>
      <c r="I51" s="5" t="s">
        <v>367</v>
      </c>
      <c r="J51" s="5"/>
      <c r="K51" s="5"/>
      <c r="L51" s="81">
        <f>'1.3. Factores de emisión'!G118</f>
        <v>3.68</v>
      </c>
      <c r="M51" s="5"/>
      <c r="N51" s="5"/>
      <c r="O51" s="5"/>
      <c r="P51" s="82">
        <f>(G51*L51*'1.3. Factores de emisión'!$E$163*(44/28))/1000</f>
        <v>0.29268338192419824</v>
      </c>
      <c r="Q51" s="82">
        <f t="shared" si="3"/>
        <v>0.29268338192419824</v>
      </c>
      <c r="R51" s="5"/>
      <c r="S51" s="84" t="s">
        <v>915</v>
      </c>
      <c r="T51" s="84" t="s">
        <v>1330</v>
      </c>
      <c r="U51" s="84" t="s">
        <v>1284</v>
      </c>
      <c r="V51" s="84" t="s">
        <v>1285</v>
      </c>
    </row>
    <row r="52" spans="2:22" ht="89.25" customHeight="1" thickBot="1">
      <c r="B52" s="58">
        <v>1</v>
      </c>
      <c r="C52" s="57" t="s">
        <v>1279</v>
      </c>
      <c r="D52" s="57" t="s">
        <v>1331</v>
      </c>
      <c r="E52" s="57" t="s">
        <v>1332</v>
      </c>
      <c r="F52" s="5"/>
      <c r="G52" s="81">
        <f>'4.5. AFOLU'!C27</f>
        <v>1.1517857142857142</v>
      </c>
      <c r="H52" s="115" t="s">
        <v>1282</v>
      </c>
      <c r="I52" s="5" t="s">
        <v>367</v>
      </c>
      <c r="J52" s="5"/>
      <c r="K52" s="5"/>
      <c r="L52" s="81">
        <f>'1.3. Factores de emisión'!G100</f>
        <v>4.5999999999999996</v>
      </c>
      <c r="M52" s="5"/>
      <c r="N52" s="5"/>
      <c r="O52" s="5"/>
      <c r="P52" s="82">
        <f>(G52*L52*'1.3. Factores de emisión'!$E$163*(44/28))/1000</f>
        <v>2.5809872448979587</v>
      </c>
      <c r="Q52" s="82">
        <f t="shared" si="3"/>
        <v>2.5809872448979587</v>
      </c>
      <c r="R52" s="5"/>
      <c r="S52" s="84" t="s">
        <v>793</v>
      </c>
      <c r="T52" s="84" t="s">
        <v>1333</v>
      </c>
      <c r="U52" s="84" t="s">
        <v>955</v>
      </c>
      <c r="V52" s="84" t="s">
        <v>796</v>
      </c>
    </row>
    <row r="53" spans="2:22" ht="107.25" customHeight="1" thickBot="1">
      <c r="B53" s="58">
        <v>1</v>
      </c>
      <c r="C53" s="57" t="s">
        <v>1279</v>
      </c>
      <c r="D53" s="57" t="s">
        <v>1334</v>
      </c>
      <c r="E53" s="57" t="s">
        <v>1335</v>
      </c>
      <c r="F53" s="5"/>
      <c r="G53" s="81">
        <f>'4.5. AFOLU'!C28</f>
        <v>4.0803571428571423</v>
      </c>
      <c r="H53" s="115" t="s">
        <v>1282</v>
      </c>
      <c r="I53" s="5" t="s">
        <v>367</v>
      </c>
      <c r="J53" s="5"/>
      <c r="K53" s="5"/>
      <c r="L53" s="81">
        <f>'1.3. Factores de emisión'!G117</f>
        <v>11.6668</v>
      </c>
      <c r="M53" s="5"/>
      <c r="N53" s="5"/>
      <c r="O53" s="5"/>
      <c r="P53" s="82">
        <f>(G53*L53*'1.3. Factores de emisión'!$E$163*(44/28))/1000</f>
        <v>23.190294790816321</v>
      </c>
      <c r="Q53" s="82">
        <f t="shared" si="3"/>
        <v>23.190294790816321</v>
      </c>
      <c r="R53" s="5"/>
      <c r="S53" s="84" t="s">
        <v>915</v>
      </c>
      <c r="T53" s="84" t="s">
        <v>1336</v>
      </c>
      <c r="U53" s="84" t="s">
        <v>1284</v>
      </c>
      <c r="V53" s="84" t="s">
        <v>1285</v>
      </c>
    </row>
    <row r="54" spans="2:22" ht="76.5" customHeight="1" thickBot="1">
      <c r="B54" s="58">
        <v>1</v>
      </c>
      <c r="C54" s="57" t="s">
        <v>1279</v>
      </c>
      <c r="D54" s="57" t="s">
        <v>1337</v>
      </c>
      <c r="E54" s="57" t="s">
        <v>1338</v>
      </c>
      <c r="F54" s="5"/>
      <c r="G54" s="81">
        <f>'4.5. AFOLU'!C29</f>
        <v>1.3877551020408163</v>
      </c>
      <c r="H54" s="115" t="s">
        <v>1282</v>
      </c>
      <c r="I54" s="5" t="s">
        <v>367</v>
      </c>
      <c r="J54" s="5"/>
      <c r="K54" s="5"/>
      <c r="L54" s="81">
        <f>'1.3. Factores de emisión'!G123</f>
        <v>3.375</v>
      </c>
      <c r="M54" s="5"/>
      <c r="N54" s="5"/>
      <c r="O54" s="5"/>
      <c r="P54" s="82">
        <f>(G54*L54*'1.3. Factores de emisión'!$E$163*(44/28))/1000</f>
        <v>2.2816180758017492</v>
      </c>
      <c r="Q54" s="82">
        <f t="shared" si="3"/>
        <v>2.2816180758017492</v>
      </c>
      <c r="R54" s="5"/>
      <c r="S54" s="84" t="s">
        <v>793</v>
      </c>
      <c r="T54" s="84" t="s">
        <v>1339</v>
      </c>
      <c r="U54" s="84" t="s">
        <v>955</v>
      </c>
      <c r="V54" s="84" t="s">
        <v>796</v>
      </c>
    </row>
    <row r="55" spans="2:22" ht="117" customHeight="1" thickBot="1">
      <c r="B55" s="58">
        <v>1</v>
      </c>
      <c r="C55" s="57" t="s">
        <v>1279</v>
      </c>
      <c r="D55" s="57" t="s">
        <v>1340</v>
      </c>
      <c r="E55" s="57" t="s">
        <v>1341</v>
      </c>
      <c r="F55" s="5"/>
      <c r="G55" s="81">
        <f>'4.5. AFOLU'!C30</f>
        <v>8.9285714285714281E-3</v>
      </c>
      <c r="H55" s="115" t="s">
        <v>1282</v>
      </c>
      <c r="I55" s="5" t="s">
        <v>367</v>
      </c>
      <c r="J55" s="5"/>
      <c r="K55" s="5"/>
      <c r="L55" s="81">
        <f>'1.3. Factores de emisión'!G119</f>
        <v>2.7</v>
      </c>
      <c r="M55" s="5"/>
      <c r="N55" s="5"/>
      <c r="O55" s="5"/>
      <c r="P55" s="82">
        <f>(G55*L55*'1.3. Factores de emisión'!$E$163*(44/28))/1000</f>
        <v>1.1743622448979594E-2</v>
      </c>
      <c r="Q55" s="82">
        <f t="shared" si="3"/>
        <v>1.1743622448979594E-2</v>
      </c>
      <c r="R55" s="5"/>
      <c r="S55" s="84" t="s">
        <v>915</v>
      </c>
      <c r="T55" s="84" t="s">
        <v>1342</v>
      </c>
      <c r="U55" s="84" t="s">
        <v>1284</v>
      </c>
      <c r="V55" s="84" t="s">
        <v>1285</v>
      </c>
    </row>
    <row r="56" spans="2:22" ht="154.5" customHeight="1" thickBot="1">
      <c r="B56" s="58">
        <v>1</v>
      </c>
      <c r="C56" s="57" t="s">
        <v>1279</v>
      </c>
      <c r="D56" s="57" t="s">
        <v>1343</v>
      </c>
      <c r="E56" s="57" t="s">
        <v>1344</v>
      </c>
      <c r="F56" s="5"/>
      <c r="G56" s="81">
        <f>'4.5. AFOLU'!B171</f>
        <v>1.3392857142857142E-2</v>
      </c>
      <c r="H56" s="115" t="s">
        <v>1345</v>
      </c>
      <c r="I56" s="5" t="s">
        <v>401</v>
      </c>
      <c r="J56" s="5"/>
      <c r="K56" s="5">
        <f>'1.3. Factores de emisión'!F126</f>
        <v>0.12</v>
      </c>
      <c r="L56" s="81"/>
      <c r="M56" s="5"/>
      <c r="N56" s="5"/>
      <c r="O56" s="112">
        <f t="shared" ref="O56:O62" si="4">(G56*K56*1*(44/12))/1000</f>
        <v>5.8928571428571411E-6</v>
      </c>
      <c r="P56" s="82"/>
      <c r="Q56" s="112">
        <f t="shared" ref="Q56:Q62" si="5">SUM(N56:P56)</f>
        <v>5.8928571428571411E-6</v>
      </c>
      <c r="R56" s="5"/>
      <c r="S56" s="84" t="s">
        <v>915</v>
      </c>
      <c r="T56" s="84" t="s">
        <v>1346</v>
      </c>
      <c r="U56" s="84" t="s">
        <v>1284</v>
      </c>
      <c r="V56" s="84" t="s">
        <v>1347</v>
      </c>
    </row>
    <row r="57" spans="2:22" ht="129.75" customHeight="1" thickBot="1">
      <c r="B57" s="58">
        <v>1</v>
      </c>
      <c r="C57" s="57" t="s">
        <v>1279</v>
      </c>
      <c r="D57" s="57" t="s">
        <v>1343</v>
      </c>
      <c r="E57" s="57" t="s">
        <v>1348</v>
      </c>
      <c r="F57" s="5"/>
      <c r="G57" s="81">
        <f>'4.5. AFOLU'!B178</f>
        <v>0.22417091836734687</v>
      </c>
      <c r="H57" s="115" t="s">
        <v>1345</v>
      </c>
      <c r="I57" s="5" t="s">
        <v>401</v>
      </c>
      <c r="J57" s="5"/>
      <c r="K57" s="5">
        <f>'1.3. Factores de emisión'!F126</f>
        <v>0.12</v>
      </c>
      <c r="L57" s="81"/>
      <c r="M57" s="5"/>
      <c r="N57" s="5"/>
      <c r="O57" s="112">
        <f t="shared" si="4"/>
        <v>9.8635204081632609E-5</v>
      </c>
      <c r="P57" s="82"/>
      <c r="Q57" s="112">
        <f t="shared" si="5"/>
        <v>9.8635204081632609E-5</v>
      </c>
      <c r="R57" s="5"/>
      <c r="S57" s="84" t="s">
        <v>915</v>
      </c>
      <c r="T57" s="84" t="s">
        <v>1349</v>
      </c>
      <c r="U57" s="84" t="s">
        <v>1284</v>
      </c>
      <c r="V57" s="84" t="s">
        <v>1347</v>
      </c>
    </row>
    <row r="58" spans="2:22" ht="120.75" customHeight="1" thickBot="1">
      <c r="B58" s="58">
        <v>1</v>
      </c>
      <c r="C58" s="57" t="s">
        <v>1279</v>
      </c>
      <c r="D58" s="57" t="s">
        <v>1343</v>
      </c>
      <c r="E58" s="57" t="s">
        <v>1350</v>
      </c>
      <c r="F58" s="5"/>
      <c r="G58" s="81">
        <f>'4.5. AFOLU'!G171</f>
        <v>1.7857142857142854E-3</v>
      </c>
      <c r="H58" s="115" t="s">
        <v>1345</v>
      </c>
      <c r="I58" s="5" t="s">
        <v>401</v>
      </c>
      <c r="J58" s="5"/>
      <c r="K58" s="5">
        <f>'1.3. Factores de emisión'!F126</f>
        <v>0.12</v>
      </c>
      <c r="L58" s="81"/>
      <c r="M58" s="5"/>
      <c r="N58" s="5"/>
      <c r="O58" s="112">
        <f t="shared" si="4"/>
        <v>7.8571428571428551E-7</v>
      </c>
      <c r="P58" s="82"/>
      <c r="Q58" s="112">
        <f t="shared" si="5"/>
        <v>7.8571428571428551E-7</v>
      </c>
      <c r="R58" s="5"/>
      <c r="S58" s="84" t="s">
        <v>915</v>
      </c>
      <c r="T58" s="84" t="s">
        <v>1351</v>
      </c>
      <c r="U58" s="84" t="s">
        <v>1284</v>
      </c>
      <c r="V58" s="84" t="s">
        <v>1347</v>
      </c>
    </row>
    <row r="59" spans="2:22" ht="112.5" customHeight="1" thickBot="1">
      <c r="B59" s="58">
        <v>1</v>
      </c>
      <c r="C59" s="57" t="s">
        <v>1279</v>
      </c>
      <c r="D59" s="57" t="s">
        <v>1343</v>
      </c>
      <c r="E59" s="57" t="s">
        <v>1352</v>
      </c>
      <c r="F59" s="5"/>
      <c r="G59" s="81">
        <f>'4.5. AFOLU'!G178</f>
        <v>6.6644897959183668E-3</v>
      </c>
      <c r="H59" s="115" t="s">
        <v>1345</v>
      </c>
      <c r="I59" s="5" t="s">
        <v>401</v>
      </c>
      <c r="J59" s="5"/>
      <c r="K59" s="5">
        <f>'1.3. Factores de emisión'!F126</f>
        <v>0.12</v>
      </c>
      <c r="L59" s="81"/>
      <c r="M59" s="5"/>
      <c r="N59" s="5"/>
      <c r="O59" s="112">
        <f t="shared" si="4"/>
        <v>2.9323755102040807E-6</v>
      </c>
      <c r="P59" s="82"/>
      <c r="Q59" s="112">
        <f t="shared" si="5"/>
        <v>2.9323755102040807E-6</v>
      </c>
      <c r="R59" s="5"/>
      <c r="S59" s="84" t="s">
        <v>915</v>
      </c>
      <c r="T59" s="84" t="s">
        <v>1353</v>
      </c>
      <c r="U59" s="84" t="s">
        <v>1284</v>
      </c>
      <c r="V59" s="84" t="s">
        <v>1347</v>
      </c>
    </row>
    <row r="60" spans="2:22" ht="117" customHeight="1" thickBot="1">
      <c r="B60" s="58">
        <v>1</v>
      </c>
      <c r="C60" s="57" t="s">
        <v>1279</v>
      </c>
      <c r="D60" s="57" t="s">
        <v>1343</v>
      </c>
      <c r="E60" s="57" t="s">
        <v>1354</v>
      </c>
      <c r="F60" s="5"/>
      <c r="G60" s="81">
        <f>'4.5. AFOLU'!B185</f>
        <v>0.11249999999999998</v>
      </c>
      <c r="H60" s="115" t="s">
        <v>1345</v>
      </c>
      <c r="I60" s="5" t="s">
        <v>401</v>
      </c>
      <c r="J60" s="5"/>
      <c r="K60" s="5">
        <f>'1.3. Factores de emisión'!F126</f>
        <v>0.12</v>
      </c>
      <c r="L60" s="81"/>
      <c r="M60" s="5"/>
      <c r="N60" s="5"/>
      <c r="O60" s="112">
        <f t="shared" si="4"/>
        <v>4.9499999999999983E-5</v>
      </c>
      <c r="P60" s="82"/>
      <c r="Q60" s="112">
        <f t="shared" si="5"/>
        <v>4.9499999999999983E-5</v>
      </c>
      <c r="R60" s="5"/>
      <c r="S60" s="84" t="s">
        <v>915</v>
      </c>
      <c r="T60" s="84" t="s">
        <v>1312</v>
      </c>
      <c r="U60" s="84" t="s">
        <v>1284</v>
      </c>
      <c r="V60" s="84" t="s">
        <v>1347</v>
      </c>
    </row>
    <row r="61" spans="2:22" ht="124.5" customHeight="1" thickBot="1">
      <c r="B61" s="58">
        <v>1</v>
      </c>
      <c r="C61" s="57" t="s">
        <v>1279</v>
      </c>
      <c r="D61" s="57" t="s">
        <v>1343</v>
      </c>
      <c r="E61" s="57" t="s">
        <v>1355</v>
      </c>
      <c r="F61" s="5"/>
      <c r="G61" s="81">
        <f>'4.5. AFOLU'!G185</f>
        <v>0.13061224489795917</v>
      </c>
      <c r="H61" s="115" t="s">
        <v>1345</v>
      </c>
      <c r="I61" s="5" t="s">
        <v>401</v>
      </c>
      <c r="J61" s="5"/>
      <c r="K61" s="5">
        <f>'1.3. Factores de emisión'!F126</f>
        <v>0.12</v>
      </c>
      <c r="L61" s="81"/>
      <c r="M61" s="5"/>
      <c r="N61" s="5"/>
      <c r="O61" s="112">
        <f t="shared" si="4"/>
        <v>5.7469387755102036E-5</v>
      </c>
      <c r="P61" s="82"/>
      <c r="Q61" s="112">
        <f t="shared" si="5"/>
        <v>5.7469387755102036E-5</v>
      </c>
      <c r="R61" s="5"/>
      <c r="S61" s="84" t="s">
        <v>915</v>
      </c>
      <c r="T61" s="84" t="s">
        <v>1330</v>
      </c>
      <c r="U61" s="84" t="s">
        <v>1284</v>
      </c>
      <c r="V61" s="84" t="s">
        <v>1347</v>
      </c>
    </row>
    <row r="62" spans="2:22" ht="105" customHeight="1" thickBot="1">
      <c r="B62" s="58">
        <v>1</v>
      </c>
      <c r="C62" s="57" t="s">
        <v>1279</v>
      </c>
      <c r="D62" s="57" t="s">
        <v>1343</v>
      </c>
      <c r="E62" s="57" t="s">
        <v>1356</v>
      </c>
      <c r="F62" s="5"/>
      <c r="G62" s="81">
        <f>'4.5. AFOLU'!B192</f>
        <v>3.6723214285714283</v>
      </c>
      <c r="H62" s="115" t="s">
        <v>1345</v>
      </c>
      <c r="I62" s="5" t="s">
        <v>401</v>
      </c>
      <c r="J62" s="5"/>
      <c r="K62" s="5">
        <f>'1.3. Factores de emisión'!F126</f>
        <v>0.12</v>
      </c>
      <c r="L62" s="81"/>
      <c r="M62" s="5"/>
      <c r="N62" s="5"/>
      <c r="O62" s="112">
        <f t="shared" si="4"/>
        <v>1.6158214285714283E-3</v>
      </c>
      <c r="P62" s="82"/>
      <c r="Q62" s="112">
        <f t="shared" si="5"/>
        <v>1.6158214285714283E-3</v>
      </c>
      <c r="R62" s="5"/>
      <c r="S62" s="84" t="s">
        <v>915</v>
      </c>
      <c r="T62" s="84" t="s">
        <v>1336</v>
      </c>
      <c r="U62" s="84" t="s">
        <v>1284</v>
      </c>
      <c r="V62" s="84" t="s">
        <v>1347</v>
      </c>
    </row>
    <row r="63" spans="2:22" ht="19.5" thickBot="1">
      <c r="C63" s="64"/>
      <c r="M63" s="69" t="s">
        <v>810</v>
      </c>
      <c r="N63" s="82">
        <f t="shared" ref="N63:O63" si="6">SUM(N36:N62)</f>
        <v>0</v>
      </c>
      <c r="O63" s="82">
        <f t="shared" si="6"/>
        <v>1.8310369673469385E-3</v>
      </c>
      <c r="P63" s="82">
        <f>SUM(P36:P62)</f>
        <v>72.313678597218882</v>
      </c>
      <c r="Q63" s="95">
        <f>SUM(Q36:Q62)</f>
        <v>72.315509634186242</v>
      </c>
      <c r="R63" s="82"/>
    </row>
    <row r="64" spans="2:22">
      <c r="B64" s="60" t="s">
        <v>811</v>
      </c>
    </row>
    <row r="67" spans="2:18">
      <c r="B67" s="61" t="s">
        <v>888</v>
      </c>
    </row>
    <row r="68" spans="2:18" ht="16.5" thickBot="1"/>
    <row r="69" spans="2:18" ht="16.5" thickBot="1">
      <c r="B69" s="58"/>
      <c r="C69" s="5" t="s">
        <v>889</v>
      </c>
    </row>
    <row r="70" spans="2:18" ht="16.5" thickBot="1">
      <c r="B70" s="59"/>
      <c r="C70" s="5" t="s">
        <v>890</v>
      </c>
    </row>
    <row r="71" spans="2:18" ht="16.5" thickBot="1">
      <c r="F71" s="308" t="s">
        <v>1357</v>
      </c>
      <c r="G71" s="309"/>
      <c r="H71" s="309"/>
      <c r="I71" s="309"/>
      <c r="J71" s="309"/>
      <c r="K71" s="309"/>
      <c r="L71" s="309"/>
      <c r="M71" s="309"/>
      <c r="N71" s="309"/>
      <c r="O71" s="309"/>
      <c r="P71" s="309"/>
      <c r="Q71" s="309"/>
      <c r="R71" s="310"/>
    </row>
    <row r="72" spans="2:18" ht="16.5" thickBot="1">
      <c r="F72" s="343" t="s">
        <v>892</v>
      </c>
      <c r="G72" s="343"/>
      <c r="H72" s="86" t="s">
        <v>893</v>
      </c>
      <c r="I72" s="86" t="s">
        <v>259</v>
      </c>
      <c r="J72" s="86" t="s">
        <v>778</v>
      </c>
      <c r="K72" s="86" t="s">
        <v>261</v>
      </c>
      <c r="L72" s="86" t="s">
        <v>894</v>
      </c>
      <c r="M72" s="86" t="s">
        <v>895</v>
      </c>
      <c r="N72" s="86" t="s">
        <v>896</v>
      </c>
      <c r="O72" s="86" t="s">
        <v>897</v>
      </c>
      <c r="P72" s="86" t="s">
        <v>898</v>
      </c>
      <c r="Q72" s="86" t="s">
        <v>899</v>
      </c>
      <c r="R72" s="86" t="s">
        <v>900</v>
      </c>
    </row>
    <row r="73" spans="2:18" ht="16.5" thickBot="1">
      <c r="F73" s="343" t="s">
        <v>901</v>
      </c>
      <c r="G73" s="343"/>
      <c r="H73" s="87">
        <f>SUM(I73:R73)</f>
        <v>1059.691427420385</v>
      </c>
      <c r="I73" s="88">
        <f>N17+N28+N63</f>
        <v>478.72815505199998</v>
      </c>
      <c r="J73" s="88">
        <f>O17+O28+O63</f>
        <v>508.45250742716621</v>
      </c>
      <c r="K73" s="88">
        <f>P17+P28+P63</f>
        <v>72.510764941218881</v>
      </c>
      <c r="L73" s="88"/>
      <c r="M73" s="88"/>
      <c r="N73" s="88"/>
      <c r="O73" s="88"/>
      <c r="P73" s="88"/>
      <c r="Q73" s="88"/>
      <c r="R73" s="88"/>
    </row>
    <row r="74" spans="2:18" ht="16.5" thickBot="1">
      <c r="F74" s="343" t="s">
        <v>902</v>
      </c>
      <c r="G74" s="343"/>
      <c r="H74" s="87">
        <f t="shared" ref="H74:H75" si="7">SUM(I74:R74)</f>
        <v>0</v>
      </c>
      <c r="I74" s="88">
        <v>0</v>
      </c>
      <c r="J74" s="88">
        <v>0</v>
      </c>
      <c r="K74" s="88">
        <v>0</v>
      </c>
      <c r="L74" s="88"/>
      <c r="M74" s="88"/>
      <c r="N74" s="88"/>
      <c r="O74" s="88"/>
      <c r="P74" s="88"/>
      <c r="Q74" s="88"/>
      <c r="R74" s="88"/>
    </row>
    <row r="75" spans="2:18" ht="16.5" thickBot="1">
      <c r="F75" s="343" t="s">
        <v>903</v>
      </c>
      <c r="G75" s="343"/>
      <c r="H75" s="87">
        <f t="shared" si="7"/>
        <v>0</v>
      </c>
      <c r="I75" s="88">
        <v>0</v>
      </c>
      <c r="J75" s="88">
        <v>0</v>
      </c>
      <c r="K75" s="88">
        <v>0</v>
      </c>
      <c r="L75" s="88"/>
      <c r="M75" s="88"/>
      <c r="N75" s="88"/>
      <c r="O75" s="88"/>
      <c r="P75" s="88"/>
      <c r="Q75" s="88"/>
      <c r="R75" s="88"/>
    </row>
    <row r="76" spans="2:18" ht="16.5" thickBot="1">
      <c r="F76" s="345" t="s">
        <v>904</v>
      </c>
      <c r="G76" s="345"/>
      <c r="H76" s="345"/>
      <c r="I76" s="346"/>
      <c r="J76" s="346"/>
      <c r="K76" s="346"/>
      <c r="L76" s="346"/>
      <c r="M76" s="346"/>
      <c r="N76" s="346"/>
      <c r="O76" s="346"/>
      <c r="P76" s="346"/>
      <c r="Q76" s="346"/>
      <c r="R76" s="346"/>
    </row>
    <row r="77" spans="2:18" ht="16.5" thickBot="1">
      <c r="F77" s="345"/>
      <c r="G77" s="345"/>
      <c r="H77" s="345"/>
      <c r="I77" s="346"/>
      <c r="J77" s="346"/>
      <c r="K77" s="346"/>
      <c r="L77" s="346"/>
      <c r="M77" s="346"/>
      <c r="N77" s="346"/>
      <c r="O77" s="346"/>
      <c r="P77" s="346"/>
      <c r="Q77" s="346"/>
      <c r="R77" s="346"/>
    </row>
    <row r="78" spans="2:18" ht="16.5" thickBot="1">
      <c r="F78" s="345" t="s">
        <v>905</v>
      </c>
      <c r="G78" s="345"/>
      <c r="H78" s="345"/>
      <c r="I78" s="347" t="s">
        <v>893</v>
      </c>
      <c r="J78" s="331">
        <f>L78+L79</f>
        <v>4.8832607200000009</v>
      </c>
      <c r="K78" s="86" t="s">
        <v>906</v>
      </c>
      <c r="L78" s="88">
        <f>R63+R28+R17</f>
        <v>4.8832607200000009</v>
      </c>
      <c r="M78" s="346"/>
      <c r="N78" s="346"/>
      <c r="O78" s="346"/>
      <c r="P78" s="346"/>
      <c r="Q78" s="346"/>
      <c r="R78" s="346"/>
    </row>
    <row r="79" spans="2:18" ht="16.5" thickBot="1">
      <c r="F79" s="345"/>
      <c r="G79" s="345"/>
      <c r="H79" s="345"/>
      <c r="I79" s="347"/>
      <c r="J79" s="332"/>
      <c r="K79" s="86" t="s">
        <v>907</v>
      </c>
      <c r="L79" s="88">
        <v>0</v>
      </c>
      <c r="M79" s="346"/>
      <c r="N79" s="346"/>
      <c r="O79" s="346"/>
      <c r="P79" s="346"/>
      <c r="Q79" s="346"/>
      <c r="R79" s="346"/>
    </row>
    <row r="80" spans="2:18" ht="16.5" thickBot="1">
      <c r="F80" s="90"/>
      <c r="G80" s="90"/>
      <c r="H80" s="90"/>
      <c r="I80" s="90"/>
      <c r="J80" s="90"/>
      <c r="K80" s="90"/>
      <c r="L80" s="90"/>
      <c r="M80" s="90"/>
      <c r="N80" s="90"/>
      <c r="O80" s="90"/>
      <c r="P80" s="90"/>
      <c r="Q80" s="90"/>
      <c r="R80" s="90"/>
    </row>
    <row r="81" spans="6:18" ht="16.5" thickBot="1">
      <c r="F81" s="344" t="s">
        <v>908</v>
      </c>
      <c r="G81" s="344"/>
      <c r="H81" s="91">
        <f>Q27</f>
        <v>-300.25785455541427</v>
      </c>
      <c r="I81"/>
      <c r="J81"/>
      <c r="K81" s="90"/>
      <c r="L81" s="90"/>
      <c r="M81" s="90"/>
      <c r="N81" s="90"/>
      <c r="O81" s="90"/>
      <c r="P81" s="90"/>
      <c r="Q81" s="90"/>
      <c r="R81" s="90"/>
    </row>
    <row r="82" spans="6:18" ht="16.5" thickBot="1">
      <c r="F82" s="344" t="s">
        <v>909</v>
      </c>
      <c r="G82" s="344"/>
      <c r="H82" s="91">
        <f>+SUM(H73:H75,H81)</f>
        <v>759.43357286497076</v>
      </c>
      <c r="I82" s="90"/>
      <c r="J82" s="90"/>
      <c r="K82" s="90"/>
      <c r="L82" s="90"/>
      <c r="M82" s="90"/>
      <c r="N82" s="90"/>
      <c r="O82" s="90"/>
      <c r="P82" s="90"/>
      <c r="Q82" s="90"/>
      <c r="R82" s="90"/>
    </row>
  </sheetData>
  <mergeCells count="43">
    <mergeCell ref="S34:S35"/>
    <mergeCell ref="T34:T35"/>
    <mergeCell ref="U34:U35"/>
    <mergeCell ref="V34:V35"/>
    <mergeCell ref="B32:C32"/>
    <mergeCell ref="B34:E34"/>
    <mergeCell ref="F34:F35"/>
    <mergeCell ref="G34:H34"/>
    <mergeCell ref="I34:M34"/>
    <mergeCell ref="N34:R34"/>
    <mergeCell ref="U23:U24"/>
    <mergeCell ref="V23:V24"/>
    <mergeCell ref="B23:E23"/>
    <mergeCell ref="F23:F24"/>
    <mergeCell ref="G23:H23"/>
    <mergeCell ref="I23:M23"/>
    <mergeCell ref="N23:R23"/>
    <mergeCell ref="S23:S24"/>
    <mergeCell ref="T23:T24"/>
    <mergeCell ref="B21:C21"/>
    <mergeCell ref="S7:S8"/>
    <mergeCell ref="T7:T8"/>
    <mergeCell ref="U7:U8"/>
    <mergeCell ref="V7:V8"/>
    <mergeCell ref="N7:R7"/>
    <mergeCell ref="B5:C5"/>
    <mergeCell ref="B7:E7"/>
    <mergeCell ref="F7:F8"/>
    <mergeCell ref="G7:H7"/>
    <mergeCell ref="I7:M7"/>
    <mergeCell ref="F82:G82"/>
    <mergeCell ref="F71:R71"/>
    <mergeCell ref="F72:G72"/>
    <mergeCell ref="F76:H77"/>
    <mergeCell ref="I76:R77"/>
    <mergeCell ref="F78:H79"/>
    <mergeCell ref="I78:I79"/>
    <mergeCell ref="J78:J79"/>
    <mergeCell ref="M78:R79"/>
    <mergeCell ref="F81:G81"/>
    <mergeCell ref="F73:G73"/>
    <mergeCell ref="F74:G74"/>
    <mergeCell ref="F75:G75"/>
  </mergeCells>
  <hyperlinks>
    <hyperlink ref="C1" location="'Información general'!A1" display="Inicio" xr:uid="{00000000-0004-0000-0800-000000000000}"/>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Jessie</dc:creator>
  <cp:keywords/>
  <dc:description/>
  <cp:lastModifiedBy>Dulcehe Jimenez Espinoza</cp:lastModifiedBy>
  <cp:revision/>
  <dcterms:created xsi:type="dcterms:W3CDTF">2018-03-11T01:31:29Z</dcterms:created>
  <dcterms:modified xsi:type="dcterms:W3CDTF">2022-12-06T13:28:10Z</dcterms:modified>
  <cp:category/>
  <cp:contentStatus/>
</cp:coreProperties>
</file>